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120" yWindow="-120" windowWidth="20730" windowHeight="11160"/>
  </bookViews>
  <sheets>
    <sheet name="Read Me" sheetId="9" r:id="rId1"/>
    <sheet name="Data Inputs" sheetId="7" r:id="rId2"/>
    <sheet name="SNCR Design Parameters" sheetId="8" r:id="rId3"/>
    <sheet name="Cost Estimate" sheetId="1" r:id="rId4"/>
  </sheets>
  <definedNames>
    <definedName name="_xlnm.Print_Area" localSheetId="3">'Cost Estimate'!$A$1:$D$87</definedName>
    <definedName name="_xlnm.Print_Area" localSheetId="1">'Data Inputs'!$A$1:$N$74</definedName>
    <definedName name="_xlnm.Print_Area" localSheetId="2">'SNCR Design Parameters'!$A$1:$H$51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50" i="7" l="1"/>
  <c r="D50" i="7"/>
  <c r="E34" i="7"/>
  <c r="B13" i="7"/>
  <c r="B10" i="8"/>
  <c r="A8" i="8" l="1"/>
  <c r="A7" i="8"/>
  <c r="B7" i="8" l="1"/>
  <c r="B6" i="8"/>
  <c r="D7" i="8" l="1"/>
  <c r="D8" i="8"/>
  <c r="D53" i="7" l="1"/>
  <c r="D30" i="8" l="1"/>
  <c r="C8" i="8"/>
  <c r="D54" i="7" l="1"/>
  <c r="C12" i="8" l="1"/>
  <c r="D55" i="7" l="1"/>
  <c r="C35" i="8" l="1"/>
  <c r="L15" i="8" l="1"/>
  <c r="G16" i="7" l="1"/>
  <c r="D52" i="7" l="1"/>
  <c r="D49" i="7" l="1"/>
  <c r="F50" i="1" l="1"/>
  <c r="A7" i="7"/>
  <c r="C19" i="8"/>
  <c r="B19" i="8"/>
  <c r="E7" i="7"/>
  <c r="D51" i="7" l="1"/>
  <c r="C86" i="1"/>
  <c r="C84" i="1"/>
  <c r="C15" i="8" l="1"/>
  <c r="V10" i="7" l="1"/>
  <c r="V11" i="7" l="1"/>
  <c r="G14" i="7" s="1"/>
  <c r="F23" i="8"/>
  <c r="E49" i="8"/>
  <c r="D16" i="8"/>
  <c r="E17" i="8"/>
  <c r="E15" i="8"/>
  <c r="E16" i="8"/>
  <c r="A18" i="8"/>
  <c r="C18" i="8"/>
  <c r="C17" i="8" s="1"/>
  <c r="F27" i="1" s="1"/>
  <c r="F22" i="8" l="1"/>
  <c r="B22" i="8"/>
  <c r="L22" i="8"/>
  <c r="C6" i="8" l="1"/>
  <c r="C7" i="8" s="1"/>
  <c r="C10" i="8" s="1"/>
  <c r="F49" i="1"/>
  <c r="C26" i="8" l="1"/>
  <c r="C13" i="8"/>
  <c r="F51" i="1"/>
  <c r="B49" i="1" l="1"/>
  <c r="D61" i="7"/>
  <c r="D62" i="7"/>
  <c r="B49" i="7" l="1"/>
  <c r="B75" i="1"/>
  <c r="B64" i="1"/>
  <c r="D77" i="1"/>
  <c r="D76" i="1"/>
  <c r="D75" i="1"/>
  <c r="D70" i="1"/>
  <c r="D69" i="1"/>
  <c r="D68" i="1"/>
  <c r="D67" i="1"/>
  <c r="D66" i="1"/>
  <c r="D65" i="1"/>
  <c r="D64" i="1"/>
  <c r="C59" i="1"/>
  <c r="C58" i="1"/>
  <c r="C57" i="1"/>
  <c r="C49" i="1"/>
  <c r="C36" i="1"/>
  <c r="C27" i="1"/>
  <c r="C13" i="1"/>
  <c r="C12" i="1"/>
  <c r="C11" i="1"/>
  <c r="C10" i="1"/>
  <c r="M22" i="8"/>
  <c r="C9" i="8"/>
  <c r="B27" i="1" s="1"/>
  <c r="A14" i="1" l="1"/>
  <c r="B36" i="1"/>
  <c r="A37" i="1"/>
  <c r="C16" i="8"/>
  <c r="B10" i="1"/>
  <c r="C28" i="8"/>
  <c r="C29" i="8" s="1"/>
  <c r="C30" i="8" s="1"/>
  <c r="C40" i="8"/>
  <c r="C11" i="8" l="1"/>
  <c r="B11" i="1"/>
  <c r="C46" i="8"/>
  <c r="C49" i="8" s="1"/>
  <c r="C43" i="8"/>
  <c r="C66" i="1" l="1"/>
  <c r="C14" i="8"/>
  <c r="B85" i="1" s="1"/>
  <c r="C67" i="1"/>
  <c r="C69" i="1"/>
  <c r="C68" i="1"/>
  <c r="B12" i="1"/>
  <c r="B13" i="1" s="1"/>
  <c r="C65" i="1"/>
  <c r="C64" i="1" l="1"/>
  <c r="C75" i="1" l="1"/>
  <c r="C70" i="1"/>
  <c r="B57" i="1" s="1"/>
  <c r="C76" i="1"/>
  <c r="C77" i="1" l="1"/>
  <c r="B58" i="1" s="1"/>
  <c r="B59" i="1" s="1"/>
  <c r="B84" i="1" s="1"/>
  <c r="B86" i="1" s="1"/>
</calcChain>
</file>

<file path=xl/sharedStrings.xml><?xml version="1.0" encoding="utf-8"?>
<sst xmlns="http://schemas.openxmlformats.org/spreadsheetml/2006/main" count="333" uniqueCount="282">
  <si>
    <t>Air Pollution Control Cost Estimation Spreadsheet</t>
  </si>
  <si>
    <t>For Selective Non-Catalytic Reduction (SNCR)</t>
  </si>
  <si>
    <t xml:space="preserve">U.S. Environmental Protection Agency </t>
  </si>
  <si>
    <t>Air Economics Group</t>
  </si>
  <si>
    <t>Health and Environmental Impacts Division</t>
  </si>
  <si>
    <t>Office of Air Quality Planning and Standards</t>
  </si>
  <si>
    <t>(March 2021)</t>
  </si>
  <si>
    <t xml:space="preserve">This spreadsheet allows users to estimate the capital and annualized costs for installing and operating a Selective Non-Catalytic Reduction (SNCR) control device. SNCR is a post-combustion control technology for reducing NOx emissions by injecting an ammonia-base reagent (urea or ammonia) into the furnace at a location where the temperature is in the appropriate range for ammonia radicals to react with NOx to form nitrogen and water.  </t>
  </si>
  <si>
    <t>The calculation methodologies used in this spreadsheet are those presented in the U.S. EPA's Air Pollution Control Cost Manual.  This spreadsheet is intended to be used in combination with the SNCR chapter and cost estimation methodology in the Control Cost Manual. For a detailed description of the SNCR control technology and the cost methodologies, see Section 4, Chapter 1 of the Air Pollution Control Cost Manual (as updated April 2019).  A copy of the Control Cost Manual is available on the U.S. EPA's "Technology Transfer Network" website at: https://www.epa.gov/economic-and-cost-analysis-air-pollution-regulations/cost-reports-and-guidance-air-pollution.</t>
  </si>
  <si>
    <t>The spreadsheet can be used to estimate capital and annualized costs for applying SNCR, and particularly to the following types of combustion units:</t>
  </si>
  <si>
    <t xml:space="preserve">(1)   </t>
  </si>
  <si>
    <t>Coal-fired utility boilers with full load capacities greater than or equal to 25 MW.</t>
  </si>
  <si>
    <t xml:space="preserve">(2)   </t>
  </si>
  <si>
    <t>Fuel oil- and natural gas-fired utility boilers with full load capacities greater than or equal to 25 MW.</t>
  </si>
  <si>
    <t xml:space="preserve">(3)   </t>
  </si>
  <si>
    <t>Coal-fired industrial boilers with maximum heat input capacities greater than or equal to 250 MMBtu/hour.</t>
  </si>
  <si>
    <t xml:space="preserve">(4)   </t>
  </si>
  <si>
    <t>Fuel oil- and natural gas-fired industrial boilers with maximum heat input capacities greater than or equal to 250 MMBtu/hour.</t>
  </si>
  <si>
    <r>
      <t>The methodology used in this spreadsheet is based on the U.S. EPA Clean Air Markets Division (CAMD)'s Integrated Planning Model (IPM version 6). The size and costs of the SNCR are based primarily on four parameters: the boiler size or heat input, the type of fuel burned, the required level of NOx reduction, and the reagent consumption. This approach provides study-level estimates (</t>
    </r>
    <r>
      <rPr>
        <sz val="12"/>
        <color theme="8" tint="-0.499984740745262"/>
        <rFont val="Calibri"/>
        <family val="2"/>
      </rPr>
      <t>±</t>
    </r>
    <r>
      <rPr>
        <sz val="12"/>
        <color theme="8" tint="-0.499984740745262"/>
        <rFont val="Calibri"/>
        <family val="2"/>
        <scheme val="minor"/>
      </rPr>
      <t xml:space="preserve">30%) of SNCR capital and annual costs. Default data in the spreadsheet is taken from the SNCR Control Cost Manual and other sources such as the U.S. Energy Information Administration (EIA).  The actual costs may vary from those calculated here due to site-specific conditions, such as the boiler configuration and fuel type. Selection of the most cost-effective control option should be based on a detailed engineering study and cost quotations from system suppliers.  For additional information regarding the IPM, see the EPA Clean Air Markets webpage at http://www.epa.gov/airmarkets/power-sector-modeling.  The Agency wishes to note that all spreadsheet data inputs other than default data are merely available to show an example calculation.  </t>
    </r>
  </si>
  <si>
    <t xml:space="preserve">Instructions </t>
  </si>
  <si>
    <r>
      <rPr>
        <b/>
        <u/>
        <sz val="12"/>
        <color theme="8" tint="-0.499984740745262"/>
        <rFont val="Calibri"/>
        <family val="2"/>
        <scheme val="minor"/>
      </rPr>
      <t>Step 1</t>
    </r>
    <r>
      <rPr>
        <b/>
        <sz val="12"/>
        <color theme="8" tint="-0.499984740745262"/>
        <rFont val="Calibri"/>
        <family val="2"/>
        <scheme val="minor"/>
      </rPr>
      <t xml:space="preserve">: </t>
    </r>
    <r>
      <rPr>
        <sz val="12"/>
        <color theme="8" tint="-0.499984740745262"/>
        <rFont val="Calibri"/>
        <family val="2"/>
        <scheme val="minor"/>
      </rPr>
      <t xml:space="preserve">Please select on the </t>
    </r>
    <r>
      <rPr>
        <b/>
        <i/>
        <sz val="12"/>
        <color theme="8" tint="-0.499984740745262"/>
        <rFont val="Calibri"/>
        <family val="2"/>
        <scheme val="minor"/>
      </rPr>
      <t>Data Inputs</t>
    </r>
    <r>
      <rPr>
        <sz val="12"/>
        <color theme="8" tint="-0.499984740745262"/>
        <rFont val="Calibri"/>
        <family val="2"/>
        <scheme val="minor"/>
      </rPr>
      <t xml:space="preserve"> tab and click on the </t>
    </r>
    <r>
      <rPr>
        <b/>
        <i/>
        <sz val="12"/>
        <color theme="8" tint="-0.499984740745262"/>
        <rFont val="Calibri"/>
        <family val="2"/>
        <scheme val="minor"/>
      </rPr>
      <t>Reset Form</t>
    </r>
    <r>
      <rPr>
        <sz val="12"/>
        <color theme="8" tint="-0.499984740745262"/>
        <rFont val="Calibri"/>
        <family val="2"/>
        <scheme val="minor"/>
      </rPr>
      <t xml:space="preserve"> button. This will reset the NSR, plant elevation, estimated equipment life, desired dollar year, cost index (to match desired dollar year), annual interest rate, unit costs for fuel, electricity, reagent, water and ash disposal, and the cost factors for maintenance cost and administrative charges. All other data entry fields will be blank.  </t>
    </r>
  </si>
  <si>
    <r>
      <rPr>
        <b/>
        <u/>
        <sz val="12"/>
        <color theme="8" tint="-0.499984740745262"/>
        <rFont val="Calibri"/>
        <family val="2"/>
        <scheme val="minor"/>
      </rPr>
      <t>Step 2</t>
    </r>
    <r>
      <rPr>
        <b/>
        <sz val="12"/>
        <color theme="8" tint="-0.499984740745262"/>
        <rFont val="Calibri"/>
        <family val="2"/>
        <scheme val="minor"/>
      </rPr>
      <t xml:space="preserve">: </t>
    </r>
    <r>
      <rPr>
        <sz val="12"/>
        <color theme="8" tint="-0.499984740745262"/>
        <rFont val="Calibri"/>
        <family val="2"/>
        <scheme val="minor"/>
      </rPr>
      <t xml:space="preserve"> Select the type of combustion unit (utility or industrial) using the pull down menu.  Indicate whether the SNCR is for new construction or retrofit of an existing boiler. If the SNCR will be installed on an existing boiler, enter a retrofit factor equal to or greater than 0.84. Use 1 for retrofits with an average level of difficulty. For more difficult retrofits, you may use a retrofit factor greater than 1; however, you must document why the value used is appropriate.</t>
    </r>
  </si>
  <si>
    <r>
      <rPr>
        <b/>
        <u/>
        <sz val="12"/>
        <color theme="8" tint="-0.499984740745262"/>
        <rFont val="Calibri"/>
        <family val="2"/>
        <scheme val="minor"/>
      </rPr>
      <t>Step 3</t>
    </r>
    <r>
      <rPr>
        <b/>
        <sz val="12"/>
        <color theme="8" tint="-0.499984740745262"/>
        <rFont val="Calibri"/>
        <family val="2"/>
        <scheme val="minor"/>
      </rPr>
      <t xml:space="preserve">:  </t>
    </r>
    <r>
      <rPr>
        <sz val="12"/>
        <color theme="8" tint="-0.499984740745262"/>
        <rFont val="Calibri"/>
        <family val="2"/>
        <scheme val="minor"/>
      </rPr>
      <t xml:space="preserve">Select the type of fuel burned (coal, fuel oil, and natural gas) using the pull down menu. If you selected coal, select the type of coal burned from the drop down menu. The NOx emissions rate, weight percent coal ash and NPHR will be pre-populated with default factors based on the type of coal selected. However, we encourage you to enter your own values for these parameters, if they are known, since the actual fuel parameters may vary from the default values provided. </t>
    </r>
  </si>
  <si>
    <r>
      <rPr>
        <b/>
        <u/>
        <sz val="12"/>
        <color theme="8" tint="-0.499984740745262"/>
        <rFont val="Calibri"/>
        <family val="2"/>
        <scheme val="minor"/>
      </rPr>
      <t>Step 4</t>
    </r>
    <r>
      <rPr>
        <b/>
        <sz val="12"/>
        <color theme="8" tint="-0.499984740745262"/>
        <rFont val="Calibri"/>
        <family val="2"/>
        <scheme val="minor"/>
      </rPr>
      <t>:</t>
    </r>
    <r>
      <rPr>
        <sz val="12"/>
        <color theme="8" tint="-0.499984740745262"/>
        <rFont val="Calibri"/>
        <family val="2"/>
        <scheme val="minor"/>
      </rPr>
      <t xml:space="preserve"> Complete all of the cells highlighted in yellow. As noted in step 1 above, some of the highlighted cells are pre-populated with default values based on 2016 data. Users should document the source of all values entered in accordance with what is recommended in the Control Cost Manual, and the use of actual values other than the default values in this spreadsheet, if appropriately documented, is acceptable. You may also adjust the maintenance and administrative charges cost factors (cells highlighted in blue) from their default values of 0.015 and 0.03, respectively. The default values for these two factors were developed for the CAMD Integrated Planning Model (IPM). If you elect to adjust these factors, you must document why the alternative values used are appropriate.   </t>
    </r>
  </si>
  <si>
    <r>
      <rPr>
        <b/>
        <u/>
        <sz val="12"/>
        <color theme="8" tint="-0.499984740745262"/>
        <rFont val="Calibri"/>
        <family val="2"/>
        <scheme val="minor"/>
      </rPr>
      <t>Step 5</t>
    </r>
    <r>
      <rPr>
        <sz val="12"/>
        <color theme="8" tint="-0.499984740745262"/>
        <rFont val="Calibri"/>
        <family val="2"/>
        <scheme val="minor"/>
      </rPr>
      <t xml:space="preserve">: Once all of the data fields are complete, select the </t>
    </r>
    <r>
      <rPr>
        <b/>
        <i/>
        <sz val="12"/>
        <color theme="8" tint="-0.499984740745262"/>
        <rFont val="Calibri"/>
        <family val="2"/>
        <scheme val="minor"/>
      </rPr>
      <t xml:space="preserve">SNCR Design Parameters </t>
    </r>
    <r>
      <rPr>
        <sz val="12"/>
        <color theme="8" tint="-0.499984740745262"/>
        <rFont val="Calibri"/>
        <family val="2"/>
        <scheme val="minor"/>
      </rPr>
      <t xml:space="preserve">tab to see the calculated design parameters and the </t>
    </r>
    <r>
      <rPr>
        <b/>
        <i/>
        <sz val="12"/>
        <color theme="8" tint="-0.499984740745262"/>
        <rFont val="Calibri"/>
        <family val="2"/>
        <scheme val="minor"/>
      </rPr>
      <t>Cost Estimate</t>
    </r>
    <r>
      <rPr>
        <sz val="12"/>
        <color theme="8" tint="-0.499984740745262"/>
        <rFont val="Calibri"/>
        <family val="2"/>
        <scheme val="minor"/>
      </rPr>
      <t xml:space="preserve"> tab to view the calculated cost data for the installation and operation of the SNCR. </t>
    </r>
  </si>
  <si>
    <t>Data Inputs</t>
  </si>
  <si>
    <t>Enter the following data for your combustion unit:</t>
  </si>
  <si>
    <t>Is the combustion unit a utility or industrial boiler?</t>
  </si>
  <si>
    <t>What type of fuel does the unit burn?</t>
  </si>
  <si>
    <t>Is the SNCR for a new boiler or retrofit of an existing boiler?</t>
  </si>
  <si>
    <t xml:space="preserve"> </t>
  </si>
  <si>
    <t>Complete all of the highlighted data fields:</t>
  </si>
  <si>
    <t>Utility</t>
  </si>
  <si>
    <t>New Construction</t>
  </si>
  <si>
    <t>Provide the following information for coal-fired boilers:</t>
  </si>
  <si>
    <t>Industrial</t>
  </si>
  <si>
    <t>Retrofit</t>
  </si>
  <si>
    <t>What is the MW rating at full load capacity (Bmw)?</t>
  </si>
  <si>
    <t>MW</t>
  </si>
  <si>
    <t>Type of coal burned:</t>
  </si>
  <si>
    <t xml:space="preserve">SO2 Emission Rate (lbs SO2/MMBtu) = </t>
  </si>
  <si>
    <t>&lt; 3lb/MMBtu</t>
  </si>
  <si>
    <t>Bituminous</t>
  </si>
  <si>
    <t>SO2 Emission Rate</t>
  </si>
  <si>
    <t>What is the higher heating value (HHV) of the fuel?</t>
  </si>
  <si>
    <t>Btu/lb</t>
  </si>
  <si>
    <t>Enter the sulfur content (%S) =</t>
  </si>
  <si>
    <t>percent by weight</t>
  </si>
  <si>
    <r>
      <rPr>
        <sz val="11"/>
        <color rgb="FFFF0000"/>
        <rFont val="Calibri"/>
        <family val="2"/>
      </rPr>
      <t>≥</t>
    </r>
    <r>
      <rPr>
        <sz val="15.4"/>
        <color rgb="FFFF0000"/>
        <rFont val="Calibri"/>
        <family val="2"/>
      </rPr>
      <t xml:space="preserve"> </t>
    </r>
    <r>
      <rPr>
        <sz val="11"/>
        <color rgb="FFFF0000"/>
        <rFont val="Calibri"/>
        <family val="2"/>
        <scheme val="minor"/>
      </rPr>
      <t>3lb/MMBtu</t>
    </r>
  </si>
  <si>
    <t>Sub-Bituminous</t>
  </si>
  <si>
    <r>
      <t>or                                                                                   Select the appropriate SO</t>
    </r>
    <r>
      <rPr>
        <vertAlign val="subscript"/>
        <sz val="11"/>
        <color theme="1"/>
        <rFont val="Calibri"/>
        <family val="2"/>
        <scheme val="minor"/>
      </rPr>
      <t>2</t>
    </r>
    <r>
      <rPr>
        <sz val="11"/>
        <color theme="1"/>
        <rFont val="Calibri"/>
        <family val="2"/>
        <scheme val="minor"/>
      </rPr>
      <t xml:space="preserve"> emission rate:</t>
    </r>
  </si>
  <si>
    <t>Not Applicable</t>
  </si>
  <si>
    <t>Lignite</t>
  </si>
  <si>
    <t>What is the estimated actual annual MWh output?</t>
  </si>
  <si>
    <t>MWh</t>
  </si>
  <si>
    <t>Coal blend</t>
  </si>
  <si>
    <t>Ash content (%Ash):</t>
  </si>
  <si>
    <t xml:space="preserve">Is the boiler a fluid-bed boiler? </t>
  </si>
  <si>
    <t>Coal</t>
  </si>
  <si>
    <t>For units burning coal blends:</t>
  </si>
  <si>
    <t>Fuel Oil</t>
  </si>
  <si>
    <t>Enter the net plant heat input rate (NPHR)</t>
  </si>
  <si>
    <t>MMBtu/MW</t>
  </si>
  <si>
    <t xml:space="preserve">Note: The table below is pre-populated with default values for HHV, %S, %Ash and cost. Please enter the actual  values for these parameters in the table below. If the actual value for any parameter is not known, you may use the default values provided.   </t>
  </si>
  <si>
    <t>Natural Gas</t>
  </si>
  <si>
    <t>Coal Blend Composition Table</t>
  </si>
  <si>
    <t>Fraction in Coal Blend</t>
  </si>
  <si>
    <t>%S</t>
  </si>
  <si>
    <t>%Ash</t>
  </si>
  <si>
    <t>HHV (Btu/lb)</t>
  </si>
  <si>
    <t>Fuel Cost ($/MMBtu)</t>
  </si>
  <si>
    <t xml:space="preserve">If the NPHR is not known, use the default NPHR value:  </t>
  </si>
  <si>
    <t>Fuel Type</t>
  </si>
  <si>
    <t>Default NPHR</t>
  </si>
  <si>
    <t>10 MMBtu/MW</t>
  </si>
  <si>
    <t>11 MMBtu/MW</t>
  </si>
  <si>
    <t>8.2 MMBtu/MW</t>
  </si>
  <si>
    <t xml:space="preserve">Please click the calculate button to calculate weighted values based on the data in the table above.  </t>
  </si>
  <si>
    <t>Yes</t>
  </si>
  <si>
    <t>Note:  If P25= Yes, then BTF = 0.75 for fluid bed boilers; Else BTF=1</t>
  </si>
  <si>
    <t>No</t>
  </si>
  <si>
    <t>Enter the following design parameters for the proposed SNCR:</t>
  </si>
  <si>
    <r>
      <t>Number of days the SNCR operates (t</t>
    </r>
    <r>
      <rPr>
        <vertAlign val="subscript"/>
        <sz val="11"/>
        <color theme="1"/>
        <rFont val="Calibri"/>
        <family val="2"/>
        <scheme val="minor"/>
      </rPr>
      <t>SNCR</t>
    </r>
    <r>
      <rPr>
        <sz val="11"/>
        <color theme="1"/>
        <rFont val="Calibri"/>
        <family val="2"/>
        <scheme val="minor"/>
      </rPr>
      <t>)</t>
    </r>
  </si>
  <si>
    <t>days</t>
  </si>
  <si>
    <t xml:space="preserve">Plant Elevation  </t>
  </si>
  <si>
    <t>Feet above sea level</t>
  </si>
  <si>
    <r>
      <t>Number of days the boiler operates (t</t>
    </r>
    <r>
      <rPr>
        <vertAlign val="subscript"/>
        <sz val="11"/>
        <color theme="1"/>
        <rFont val="Calibri"/>
        <family val="2"/>
        <scheme val="minor"/>
      </rPr>
      <t>plant</t>
    </r>
    <r>
      <rPr>
        <sz val="11"/>
        <color theme="1"/>
        <rFont val="Calibri"/>
        <family val="2"/>
        <scheme val="minor"/>
      </rPr>
      <t>)</t>
    </r>
  </si>
  <si>
    <r>
      <t>Inlet NO</t>
    </r>
    <r>
      <rPr>
        <vertAlign val="subscript"/>
        <sz val="11"/>
        <color theme="1"/>
        <rFont val="Calibri"/>
        <family val="2"/>
        <scheme val="minor"/>
      </rPr>
      <t>x</t>
    </r>
    <r>
      <rPr>
        <sz val="11"/>
        <color theme="1"/>
        <rFont val="Calibri"/>
        <family val="2"/>
        <scheme val="minor"/>
      </rPr>
      <t xml:space="preserve"> Emissions (NOx</t>
    </r>
    <r>
      <rPr>
        <vertAlign val="subscript"/>
        <sz val="11"/>
        <color theme="1"/>
        <rFont val="Calibri"/>
        <family val="2"/>
        <scheme val="minor"/>
      </rPr>
      <t>in</t>
    </r>
    <r>
      <rPr>
        <sz val="11"/>
        <color theme="1"/>
        <rFont val="Calibri"/>
        <family val="2"/>
        <scheme val="minor"/>
      </rPr>
      <t>) to SNCR</t>
    </r>
  </si>
  <si>
    <t>lb/MMBtu</t>
  </si>
  <si>
    <r>
      <t>Oulet NO</t>
    </r>
    <r>
      <rPr>
        <vertAlign val="subscript"/>
        <sz val="11"/>
        <color theme="1"/>
        <rFont val="Calibri"/>
        <family val="2"/>
        <scheme val="minor"/>
      </rPr>
      <t>x</t>
    </r>
    <r>
      <rPr>
        <sz val="11"/>
        <color theme="1"/>
        <rFont val="Calibri"/>
        <family val="2"/>
        <scheme val="minor"/>
      </rPr>
      <t xml:space="preserve"> Emissions (NOx</t>
    </r>
    <r>
      <rPr>
        <vertAlign val="subscript"/>
        <sz val="11"/>
        <color theme="1"/>
        <rFont val="Calibri"/>
        <family val="2"/>
        <scheme val="minor"/>
      </rPr>
      <t>out</t>
    </r>
    <r>
      <rPr>
        <sz val="11"/>
        <color theme="1"/>
        <rFont val="Calibri"/>
        <family val="2"/>
        <scheme val="minor"/>
      </rPr>
      <t>) from SNCR</t>
    </r>
  </si>
  <si>
    <t>Estimated Normalized Stoichiometric Ratio (NSR)</t>
  </si>
  <si>
    <r>
      <t>Concentration of reagent as stored (C</t>
    </r>
    <r>
      <rPr>
        <vertAlign val="subscript"/>
        <sz val="11"/>
        <color theme="1"/>
        <rFont val="Calibri"/>
        <family val="2"/>
        <scheme val="minor"/>
      </rPr>
      <t>stored</t>
    </r>
    <r>
      <rPr>
        <sz val="11"/>
        <color theme="1"/>
        <rFont val="Calibri"/>
        <family val="2"/>
        <scheme val="minor"/>
      </rPr>
      <t>)</t>
    </r>
  </si>
  <si>
    <t>Percent</t>
  </si>
  <si>
    <r>
      <t>Density of reagent as stored (</t>
    </r>
    <r>
      <rPr>
        <sz val="11"/>
        <color theme="1"/>
        <rFont val="Calibri"/>
        <family val="2"/>
      </rPr>
      <t>ρ</t>
    </r>
    <r>
      <rPr>
        <vertAlign val="subscript"/>
        <sz val="11"/>
        <color theme="1"/>
        <rFont val="Calibri"/>
        <family val="2"/>
      </rPr>
      <t>stored</t>
    </r>
    <r>
      <rPr>
        <sz val="11"/>
        <color theme="1"/>
        <rFont val="Calibri"/>
        <family val="2"/>
      </rPr>
      <t>)</t>
    </r>
  </si>
  <si>
    <r>
      <t>lb/ft</t>
    </r>
    <r>
      <rPr>
        <vertAlign val="superscript"/>
        <sz val="11"/>
        <color theme="1"/>
        <rFont val="Calibri"/>
        <family val="2"/>
        <scheme val="minor"/>
      </rPr>
      <t>3</t>
    </r>
  </si>
  <si>
    <r>
      <t>Concentration of reagent injected (C</t>
    </r>
    <r>
      <rPr>
        <vertAlign val="subscript"/>
        <sz val="11"/>
        <color theme="1"/>
        <rFont val="Calibri"/>
        <family val="2"/>
        <scheme val="minor"/>
      </rPr>
      <t>inj</t>
    </r>
    <r>
      <rPr>
        <sz val="11"/>
        <color theme="1"/>
        <rFont val="Calibri"/>
        <family val="2"/>
        <scheme val="minor"/>
      </rPr>
      <t>)</t>
    </r>
  </si>
  <si>
    <t>percent</t>
  </si>
  <si>
    <t xml:space="preserve">Densities of typical SNCR reagents: </t>
  </si>
  <si>
    <r>
      <t>Number of days reagent is stored (t</t>
    </r>
    <r>
      <rPr>
        <vertAlign val="subscript"/>
        <sz val="11"/>
        <color theme="1"/>
        <rFont val="Calibri"/>
        <family val="2"/>
        <scheme val="minor"/>
      </rPr>
      <t>storage</t>
    </r>
    <r>
      <rPr>
        <sz val="11"/>
        <color theme="1"/>
        <rFont val="Calibri"/>
        <family val="2"/>
        <scheme val="minor"/>
      </rPr>
      <t>)</t>
    </r>
  </si>
  <si>
    <t>50% urea solution</t>
  </si>
  <si>
    <r>
      <t>lbs/ft</t>
    </r>
    <r>
      <rPr>
        <vertAlign val="superscript"/>
        <sz val="11"/>
        <color theme="1"/>
        <rFont val="Calibri"/>
        <family val="2"/>
        <scheme val="minor"/>
      </rPr>
      <t>3</t>
    </r>
  </si>
  <si>
    <t>Estimated equipment life</t>
  </si>
  <si>
    <t>Years</t>
  </si>
  <si>
    <r>
      <t>29.4% aqueous NH</t>
    </r>
    <r>
      <rPr>
        <vertAlign val="subscript"/>
        <sz val="11"/>
        <color theme="1"/>
        <rFont val="Calibri"/>
        <family val="2"/>
        <scheme val="minor"/>
      </rPr>
      <t>3</t>
    </r>
  </si>
  <si>
    <t>Urea</t>
  </si>
  <si>
    <t>Ammonia</t>
  </si>
  <si>
    <t>Select the reagent used</t>
  </si>
  <si>
    <t>Enter the cost data for the proposed SNCR:</t>
  </si>
  <si>
    <t>Desired dollar-year</t>
  </si>
  <si>
    <t>2016 CEPCI</t>
  </si>
  <si>
    <t>CEPCI = Chemical Engineering Plant Cost Index</t>
  </si>
  <si>
    <t>Annual Interest Rate (i)</t>
  </si>
  <si>
    <r>
      <t>Fuel (Cost</t>
    </r>
    <r>
      <rPr>
        <vertAlign val="subscript"/>
        <sz val="11"/>
        <color theme="1"/>
        <rFont val="Calibri"/>
        <family val="2"/>
        <scheme val="minor"/>
      </rPr>
      <t>fuel</t>
    </r>
    <r>
      <rPr>
        <sz val="11"/>
        <color theme="1"/>
        <rFont val="Calibri"/>
        <family val="2"/>
        <scheme val="minor"/>
      </rPr>
      <t>)</t>
    </r>
  </si>
  <si>
    <r>
      <t>Reagent (Cost</t>
    </r>
    <r>
      <rPr>
        <vertAlign val="subscript"/>
        <sz val="11"/>
        <color theme="1"/>
        <rFont val="Calibri"/>
        <family val="2"/>
        <scheme val="minor"/>
      </rPr>
      <t>reag</t>
    </r>
    <r>
      <rPr>
        <sz val="11"/>
        <color theme="1"/>
        <rFont val="Calibri"/>
        <family val="2"/>
        <scheme val="minor"/>
      </rPr>
      <t>)</t>
    </r>
  </si>
  <si>
    <r>
      <t>Water (Cost</t>
    </r>
    <r>
      <rPr>
        <vertAlign val="subscript"/>
        <sz val="11"/>
        <color theme="1"/>
        <rFont val="Calibri"/>
        <family val="2"/>
        <scheme val="minor"/>
      </rPr>
      <t>water</t>
    </r>
    <r>
      <rPr>
        <sz val="11"/>
        <color theme="1"/>
        <rFont val="Calibri"/>
        <family val="2"/>
        <scheme val="minor"/>
      </rPr>
      <t>)</t>
    </r>
  </si>
  <si>
    <r>
      <t>Electricity (Cost</t>
    </r>
    <r>
      <rPr>
        <vertAlign val="subscript"/>
        <sz val="11"/>
        <color theme="1"/>
        <rFont val="Calibri"/>
        <family val="2"/>
        <scheme val="minor"/>
      </rPr>
      <t>elect</t>
    </r>
    <r>
      <rPr>
        <sz val="11"/>
        <color theme="1"/>
        <rFont val="Calibri"/>
        <family val="2"/>
        <scheme val="minor"/>
      </rPr>
      <t>)</t>
    </r>
  </si>
  <si>
    <r>
      <t>Ash Disposal (for coal-fired boilers only) (Cost</t>
    </r>
    <r>
      <rPr>
        <vertAlign val="subscript"/>
        <sz val="11"/>
        <color theme="1"/>
        <rFont val="Calibri"/>
        <family val="2"/>
        <scheme val="minor"/>
      </rPr>
      <t>ash</t>
    </r>
    <r>
      <rPr>
        <sz val="11"/>
        <color theme="1"/>
        <rFont val="Calibri"/>
        <family val="2"/>
        <scheme val="minor"/>
      </rPr>
      <t>)</t>
    </r>
  </si>
  <si>
    <t>Note:  The use of CEPCI in this spreadsheet is not an endorsement of the index, but is there merely to allow for availability of a well-known cost index to spreadsheet users. Use of other well-known cost indexes (e.g., M&amp;S) is acceptable.</t>
  </si>
  <si>
    <t>Maintenance and Administrative Charges Cost Factors:</t>
  </si>
  <si>
    <t>Maintenance Cost Factor (MCF) =</t>
  </si>
  <si>
    <t>Administrative Charges Factor (ACF) =</t>
  </si>
  <si>
    <t xml:space="preserve">Data Sources for Default Values Used in Calculations: </t>
  </si>
  <si>
    <t>Data Element</t>
  </si>
  <si>
    <t>Default Value</t>
  </si>
  <si>
    <t>Sources for Default Value</t>
  </si>
  <si>
    <t xml:space="preserve">If you used your own site-specific values, please enter the  value used and the reference  source . . . </t>
  </si>
  <si>
    <t>Recommended data sources for site-specific information</t>
  </si>
  <si>
    <t xml:space="preserve">Reagent Cost </t>
  </si>
  <si>
    <t>$0.293/gallon of 29% Ammonia</t>
  </si>
  <si>
    <t>U.S. Geological Survey, Minerals Commodity Summaries, January 2017 (https://minerals.usgs.gov/minerals/pubs/commodity/nitrogen/mcs-2017-nitro.pdf</t>
  </si>
  <si>
    <t xml:space="preserve">Check with reagent vendors for current prices. </t>
  </si>
  <si>
    <t>Water Cost ($/gallon)</t>
  </si>
  <si>
    <t>Average water rates for industrial facilities in 2013 compiled by Black &amp; Veatch. (see 2012/2013 "50 Largest Cities Water/Wastewater Rate Survey." Available at http://www.saws.org/who_we_are/community/RAC/docs/2014/50-largest-cities-brochure-water-wastewater-rate-survey.pdf.</t>
  </si>
  <si>
    <t>Plant's utility bill or  Black &amp; Veatch's "50 Largest Cities Water/Wastewater Rate Survey." Available at http://www.saws.org/who_we_are/community/RAC/docs/2014/50-largest-cities-brochure-water-wastewater-rate-survey.pdf. .</t>
  </si>
  <si>
    <t>Electricity Cost ($/kWh)</t>
  </si>
  <si>
    <t>U.S. Energy Information Administration. Electric Power Annual 2016.  Table 8.4.  Published December 2017. Available at: https://www.eia.gov/electricity/annual/pdf/epa.pdf.</t>
  </si>
  <si>
    <t xml:space="preserve">Plant's utility bill or use U.S. Energy Information Administration (EIA) data for most recent year. Available at http://www.eia.gov/electricity/data.cfm#sales. </t>
  </si>
  <si>
    <t>U.S. Energy Information Administration. Electric Power Annual 2016.  Table 7.4.  Published December 2017. Available at: https://www.eia.gov/electricity/annual/pdf/epa.pdf.</t>
  </si>
  <si>
    <t>Check with fuel supplier or use  U.S. Energy Information Administration (EIA) data for most recent year. Available at http://www.eia.gov/electricity/data/eia923/.</t>
  </si>
  <si>
    <t>Ash Disposal Cost ($/ton)</t>
  </si>
  <si>
    <t>Waste Business Journal.  The Cost to Landfill MSW Continues to Rise Despite Soft Demand.  July 11, 2017.  Available at:  http://www.wastebusinessjournal.com/news/wbj20170711A.htm.</t>
  </si>
  <si>
    <t>Use plant data or use Waste Business Journal.  The Cost to Landfill MSW Continues to Rise Despite Soft Demand.  July 11, 2017.  Available at:  http://www.wastebusinessjournal.com/news/wbj20170711A.htm.</t>
  </si>
  <si>
    <t>Percent sulfur content for Coal (% weight)</t>
  </si>
  <si>
    <t>Average sulfur content based on U.S. coal data for 2016 compiled by the U.S. Energy Information Administration (EIA) from data reported on EIA Form EIA-923, Power Plant Operations Report. Available at http://www.eia.gov/electricity/data/eia923/.</t>
  </si>
  <si>
    <t>Percent ash content for Coal (% weight)</t>
  </si>
  <si>
    <t>Average ash content based on U.S. coal data for 2016 compiled by the U.S. Energy Information Administration (EIA) from data reported on EIA Form EIA-923, Power Plant Operations Report. Available at http://www.eia.gov/electricity/data/eia923/.</t>
  </si>
  <si>
    <t>Higher Heating Value (HHV) (Btu/lb)</t>
  </si>
  <si>
    <t>2016 coal data compiled by the Office of Oil, Gas, and Coal Supply Statistics, U.S. Energy Information Administration (EIA) from data reported on EIA Form EIA-923, Power Plant Operations Report. Available at http://www.eia.gov/electricity/data/eia923/.</t>
  </si>
  <si>
    <t>Fuel supplier or use  U.S. Energy Information Administration (EIA) data for most recent year. Available at http://www.eia.gov/electricity/data/eia923/.</t>
  </si>
  <si>
    <t>Interest Rate</t>
  </si>
  <si>
    <t>Default bank prime rate</t>
  </si>
  <si>
    <t>Bank prime rate is as of March 2, 2021 and is available as the rates listed under 'bank prime loan' at https://www.federalreserve.gov/releases/h15/.</t>
  </si>
  <si>
    <t>Use current bank prime rate available at https://www.federalreserve.gov/releases/h15/.</t>
  </si>
  <si>
    <t>SNCR Design Parameters</t>
  </si>
  <si>
    <r>
      <t xml:space="preserve">The following design parameters for the SNCR were calculated based on the values entered on the </t>
    </r>
    <r>
      <rPr>
        <b/>
        <i/>
        <sz val="12"/>
        <color theme="8" tint="-0.249977111117893"/>
        <rFont val="Calibri"/>
        <family val="2"/>
        <scheme val="minor"/>
      </rPr>
      <t xml:space="preserve">Data Inputs </t>
    </r>
    <r>
      <rPr>
        <b/>
        <sz val="12"/>
        <color theme="8" tint="-0.249977111117893"/>
        <rFont val="Calibri"/>
        <family val="2"/>
        <scheme val="minor"/>
      </rPr>
      <t xml:space="preserve">tab. These values were used to prepare the costs shown on the </t>
    </r>
    <r>
      <rPr>
        <b/>
        <i/>
        <sz val="12"/>
        <color theme="8" tint="-0.249977111117893"/>
        <rFont val="Calibri"/>
        <family val="2"/>
        <scheme val="minor"/>
      </rPr>
      <t>Cost Estimate</t>
    </r>
    <r>
      <rPr>
        <b/>
        <sz val="12"/>
        <color theme="8" tint="-0.249977111117893"/>
        <rFont val="Calibri"/>
        <family val="2"/>
        <scheme val="minor"/>
      </rPr>
      <t xml:space="preserve"> tab.</t>
    </r>
  </si>
  <si>
    <t>Parameter</t>
  </si>
  <si>
    <t>Equation</t>
  </si>
  <si>
    <t>Calculated Value</t>
  </si>
  <si>
    <t>Units</t>
  </si>
  <si>
    <r>
      <t>Maximum Annual Heat Input Rate (Q</t>
    </r>
    <r>
      <rPr>
        <vertAlign val="subscript"/>
        <sz val="12"/>
        <color theme="1"/>
        <rFont val="Calibri"/>
        <family val="2"/>
        <scheme val="minor"/>
      </rPr>
      <t>B</t>
    </r>
    <r>
      <rPr>
        <sz val="12"/>
        <color theme="1"/>
        <rFont val="Calibri"/>
        <family val="2"/>
        <scheme val="minor"/>
      </rPr>
      <t xml:space="preserve">) = </t>
    </r>
  </si>
  <si>
    <t>MMBtu/hour</t>
  </si>
  <si>
    <t>Heat Rate Factor (HRF) =</t>
  </si>
  <si>
    <t>NPHR/10 =</t>
  </si>
  <si>
    <r>
      <t>Total System Capacity Factor (CF</t>
    </r>
    <r>
      <rPr>
        <vertAlign val="subscript"/>
        <sz val="12"/>
        <color theme="1"/>
        <rFont val="Calibri"/>
        <family val="2"/>
        <scheme val="minor"/>
      </rPr>
      <t>total</t>
    </r>
    <r>
      <rPr>
        <sz val="12"/>
        <color theme="1"/>
        <rFont val="Calibri"/>
        <family val="2"/>
        <scheme val="minor"/>
      </rPr>
      <t>) =</t>
    </r>
  </si>
  <si>
    <t>fraction</t>
  </si>
  <si>
    <r>
      <t>Total operating time for the SNCR (t</t>
    </r>
    <r>
      <rPr>
        <vertAlign val="subscript"/>
        <sz val="12"/>
        <color theme="1"/>
        <rFont val="Calibri"/>
        <family val="2"/>
        <scheme val="minor"/>
      </rPr>
      <t>op</t>
    </r>
    <r>
      <rPr>
        <sz val="12"/>
        <color theme="1"/>
        <rFont val="Calibri"/>
        <family val="2"/>
        <scheme val="minor"/>
      </rPr>
      <t>) =</t>
    </r>
  </si>
  <si>
    <r>
      <t>CF</t>
    </r>
    <r>
      <rPr>
        <vertAlign val="subscript"/>
        <sz val="12"/>
        <color theme="1"/>
        <rFont val="Calibri"/>
        <family val="2"/>
        <scheme val="minor"/>
      </rPr>
      <t>total</t>
    </r>
    <r>
      <rPr>
        <sz val="12"/>
        <color theme="1"/>
        <rFont val="Calibri"/>
        <family val="2"/>
        <scheme val="minor"/>
      </rPr>
      <t xml:space="preserve"> x 8760 =</t>
    </r>
  </si>
  <si>
    <t>hours</t>
  </si>
  <si>
    <t>NOx Removal Efficiency (EF) =</t>
  </si>
  <si>
    <r>
      <t>(NOx</t>
    </r>
    <r>
      <rPr>
        <vertAlign val="subscript"/>
        <sz val="12"/>
        <color theme="1"/>
        <rFont val="Calibri"/>
        <family val="2"/>
        <scheme val="minor"/>
      </rPr>
      <t>in</t>
    </r>
    <r>
      <rPr>
        <sz val="12"/>
        <color theme="1"/>
        <rFont val="Calibri"/>
        <family val="2"/>
        <scheme val="minor"/>
      </rPr>
      <t xml:space="preserve"> - NOx</t>
    </r>
    <r>
      <rPr>
        <vertAlign val="subscript"/>
        <sz val="12"/>
        <color theme="1"/>
        <rFont val="Calibri"/>
        <family val="2"/>
        <scheme val="minor"/>
      </rPr>
      <t>out</t>
    </r>
    <r>
      <rPr>
        <sz val="12"/>
        <color theme="1"/>
        <rFont val="Calibri"/>
        <family val="2"/>
        <scheme val="minor"/>
      </rPr>
      <t>)/NOx</t>
    </r>
    <r>
      <rPr>
        <vertAlign val="subscript"/>
        <sz val="12"/>
        <color theme="1"/>
        <rFont val="Calibri"/>
        <family val="2"/>
        <scheme val="minor"/>
      </rPr>
      <t xml:space="preserve">in </t>
    </r>
    <r>
      <rPr>
        <sz val="12"/>
        <color theme="1"/>
        <rFont val="Calibri"/>
        <family val="2"/>
        <scheme val="minor"/>
      </rPr>
      <t>=</t>
    </r>
  </si>
  <si>
    <t>NOx removed per hour =</t>
  </si>
  <si>
    <r>
      <t>NOx</t>
    </r>
    <r>
      <rPr>
        <vertAlign val="subscript"/>
        <sz val="12"/>
        <color theme="1"/>
        <rFont val="Calibri"/>
        <family val="2"/>
        <scheme val="minor"/>
      </rPr>
      <t>in</t>
    </r>
    <r>
      <rPr>
        <sz val="12"/>
        <color theme="1"/>
        <rFont val="Calibri"/>
        <family val="2"/>
        <scheme val="minor"/>
      </rPr>
      <t xml:space="preserve"> x EF x Q</t>
    </r>
    <r>
      <rPr>
        <vertAlign val="subscript"/>
        <sz val="12"/>
        <color theme="1"/>
        <rFont val="Calibri"/>
        <family val="2"/>
        <scheme val="minor"/>
      </rPr>
      <t>B</t>
    </r>
    <r>
      <rPr>
        <sz val="12"/>
        <color theme="1"/>
        <rFont val="Calibri"/>
        <family val="2"/>
        <scheme val="minor"/>
      </rPr>
      <t xml:space="preserve"> </t>
    </r>
    <r>
      <rPr>
        <sz val="12"/>
        <color theme="1"/>
        <rFont val="Calibri"/>
        <family val="2"/>
        <scheme val="minor"/>
      </rPr>
      <t xml:space="preserve"> =</t>
    </r>
  </si>
  <si>
    <t>lb/hour</t>
  </si>
  <si>
    <r>
      <t>Total NO</t>
    </r>
    <r>
      <rPr>
        <vertAlign val="subscript"/>
        <sz val="12"/>
        <color theme="1"/>
        <rFont val="Calibri"/>
        <family val="2"/>
        <scheme val="minor"/>
      </rPr>
      <t>x</t>
    </r>
    <r>
      <rPr>
        <sz val="12"/>
        <color theme="1"/>
        <rFont val="Calibri"/>
        <family val="2"/>
        <scheme val="minor"/>
      </rPr>
      <t xml:space="preserve"> removed per year =</t>
    </r>
  </si>
  <si>
    <r>
      <t>(NOx</t>
    </r>
    <r>
      <rPr>
        <vertAlign val="subscript"/>
        <sz val="12"/>
        <color theme="1"/>
        <rFont val="Calibri"/>
        <family val="2"/>
        <scheme val="minor"/>
      </rPr>
      <t>in</t>
    </r>
    <r>
      <rPr>
        <sz val="12"/>
        <color theme="1"/>
        <rFont val="Calibri"/>
        <family val="2"/>
        <scheme val="minor"/>
      </rPr>
      <t xml:space="preserve"> x EF x Q</t>
    </r>
    <r>
      <rPr>
        <vertAlign val="subscript"/>
        <sz val="12"/>
        <color theme="1"/>
        <rFont val="Calibri"/>
        <family val="2"/>
        <scheme val="minor"/>
      </rPr>
      <t>B</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)/2000</t>
    </r>
    <r>
      <rPr>
        <sz val="12"/>
        <color theme="1"/>
        <rFont val="Calibri"/>
        <family val="2"/>
        <scheme val="minor"/>
      </rPr>
      <t xml:space="preserve"> =</t>
    </r>
  </si>
  <si>
    <t>tons/year</t>
  </si>
  <si>
    <r>
      <t>Coal Factor (Coal</t>
    </r>
    <r>
      <rPr>
        <vertAlign val="subscript"/>
        <sz val="12"/>
        <color theme="1"/>
        <rFont val="Calibri"/>
        <family val="2"/>
        <scheme val="minor"/>
      </rPr>
      <t>F</t>
    </r>
    <r>
      <rPr>
        <sz val="12"/>
        <color theme="1"/>
        <rFont val="Calibri"/>
        <family val="2"/>
        <scheme val="minor"/>
      </rPr>
      <t>) =</t>
    </r>
  </si>
  <si>
    <t>1 for bituminous; 1.05 for sub-bituminous; 1.07 for lignite (weighted average is used for coal blends)</t>
  </si>
  <si>
    <r>
      <t>SO</t>
    </r>
    <r>
      <rPr>
        <vertAlign val="subscript"/>
        <sz val="12"/>
        <color theme="1"/>
        <rFont val="Calibri"/>
        <family val="2"/>
        <scheme val="minor"/>
      </rPr>
      <t>2</t>
    </r>
    <r>
      <rPr>
        <sz val="12"/>
        <color theme="1"/>
        <rFont val="Calibri"/>
        <family val="2"/>
        <scheme val="minor"/>
      </rPr>
      <t xml:space="preserve"> Emission rate =  </t>
    </r>
  </si>
  <si>
    <r>
      <t>(%S/100)x(64/32)*(1x10</t>
    </r>
    <r>
      <rPr>
        <vertAlign val="superscript"/>
        <sz val="12"/>
        <color theme="1"/>
        <rFont val="Calibri"/>
        <family val="2"/>
        <scheme val="minor"/>
      </rPr>
      <t>6</t>
    </r>
    <r>
      <rPr>
        <sz val="12"/>
        <color theme="1"/>
        <rFont val="Calibri"/>
        <family val="2"/>
        <scheme val="minor"/>
      </rPr>
      <t>)/HHV =</t>
    </r>
  </si>
  <si>
    <t xml:space="preserve">Elevation Factor (ELEVF)  = </t>
  </si>
  <si>
    <t>14.7 psia/P =</t>
  </si>
  <si>
    <r>
      <t>2116x[(59-(0.00356xh)+459.7)/518.6]</t>
    </r>
    <r>
      <rPr>
        <vertAlign val="superscript"/>
        <sz val="12"/>
        <color theme="1"/>
        <rFont val="Calibri"/>
        <family val="2"/>
        <scheme val="minor"/>
      </rPr>
      <t>5.256</t>
    </r>
    <r>
      <rPr>
        <sz val="12"/>
        <color theme="1"/>
        <rFont val="Calibri"/>
        <family val="2"/>
        <scheme val="minor"/>
      </rPr>
      <t xml:space="preserve"> x (1/144)* =</t>
    </r>
  </si>
  <si>
    <t>psia</t>
  </si>
  <si>
    <t>Retrofit Factor (RF) =</t>
  </si>
  <si>
    <t xml:space="preserve">* Equation is from the National Aeronautics and Space Administration (NASA), Earth Atmosphere Model. Available at https://spaceflightsystems.grc.nasa.gov/education/rocket/atmos.html. </t>
  </si>
  <si>
    <t>Reagent Data:</t>
  </si>
  <si>
    <t>Type of reagent used</t>
  </si>
  <si>
    <t xml:space="preserve">Molecular Weight of Reagent (MW) = </t>
  </si>
  <si>
    <t>g/mole</t>
  </si>
  <si>
    <t>Density  =</t>
  </si>
  <si>
    <t>lb/gallon</t>
  </si>
  <si>
    <r>
      <t>Reagent consumption rate (m</t>
    </r>
    <r>
      <rPr>
        <vertAlign val="subscript"/>
        <sz val="12"/>
        <color theme="1"/>
        <rFont val="Calibri"/>
        <family val="2"/>
        <scheme val="minor"/>
      </rPr>
      <t>reagent</t>
    </r>
    <r>
      <rPr>
        <sz val="12"/>
        <color theme="1"/>
        <rFont val="Calibri"/>
        <family val="2"/>
        <scheme val="minor"/>
      </rPr>
      <t xml:space="preserve">) = </t>
    </r>
  </si>
  <si>
    <r>
      <t>(NOx</t>
    </r>
    <r>
      <rPr>
        <vertAlign val="subscript"/>
        <sz val="12"/>
        <color theme="1"/>
        <rFont val="Calibri"/>
        <family val="2"/>
        <scheme val="minor"/>
      </rPr>
      <t>in</t>
    </r>
    <r>
      <rPr>
        <sz val="12"/>
        <color theme="1"/>
        <rFont val="Calibri"/>
        <family val="2"/>
        <scheme val="minor"/>
      </rPr>
      <t xml:space="preserve"> x Q</t>
    </r>
    <r>
      <rPr>
        <vertAlign val="subscript"/>
        <sz val="12"/>
        <color theme="1"/>
        <rFont val="Calibri"/>
        <family val="2"/>
        <scheme val="minor"/>
      </rPr>
      <t>B</t>
    </r>
    <r>
      <rPr>
        <sz val="12"/>
        <color theme="1"/>
        <rFont val="Calibri"/>
        <family val="2"/>
        <scheme val="minor"/>
      </rPr>
      <t xml:space="preserve"> x NSR x MW</t>
    </r>
    <r>
      <rPr>
        <vertAlign val="subscript"/>
        <sz val="12"/>
        <color theme="1"/>
        <rFont val="Calibri"/>
        <family val="2"/>
        <scheme val="minor"/>
      </rPr>
      <t>R</t>
    </r>
    <r>
      <rPr>
        <sz val="12"/>
        <color theme="1"/>
        <rFont val="Calibri"/>
        <family val="2"/>
        <scheme val="minor"/>
      </rPr>
      <t>)/(MW</t>
    </r>
    <r>
      <rPr>
        <vertAlign val="subscript"/>
        <sz val="12"/>
        <color theme="1"/>
        <rFont val="Calibri"/>
        <family val="2"/>
        <scheme val="minor"/>
      </rPr>
      <t>NOx</t>
    </r>
    <r>
      <rPr>
        <sz val="12"/>
        <color theme="1"/>
        <rFont val="Calibri"/>
        <family val="2"/>
        <scheme val="minor"/>
      </rPr>
      <t xml:space="preserve"> x SR</t>
    </r>
    <r>
      <rPr>
        <sz val="12"/>
        <color theme="1"/>
        <rFont val="Calibri"/>
        <family val="2"/>
        <scheme val="minor"/>
      </rPr>
      <t>) =</t>
    </r>
  </si>
  <si>
    <r>
      <t>(whre SR = 1 for NH</t>
    </r>
    <r>
      <rPr>
        <vertAlign val="subscript"/>
        <sz val="12"/>
        <color theme="1"/>
        <rFont val="Calibri"/>
        <family val="2"/>
        <scheme val="minor"/>
      </rPr>
      <t>3</t>
    </r>
    <r>
      <rPr>
        <sz val="12"/>
        <color theme="1"/>
        <rFont val="Calibri"/>
        <family val="2"/>
        <scheme val="minor"/>
      </rPr>
      <t>; 2 for Urea)</t>
    </r>
  </si>
  <si>
    <r>
      <t>Reagent Usage Rate (m</t>
    </r>
    <r>
      <rPr>
        <vertAlign val="subscript"/>
        <sz val="12"/>
        <color theme="1"/>
        <rFont val="Calibri"/>
        <family val="2"/>
        <scheme val="minor"/>
      </rPr>
      <t>sol</t>
    </r>
    <r>
      <rPr>
        <sz val="12"/>
        <color theme="1"/>
        <rFont val="Calibri"/>
        <family val="2"/>
        <scheme val="minor"/>
      </rPr>
      <t>) =</t>
    </r>
  </si>
  <si>
    <r>
      <t>m</t>
    </r>
    <r>
      <rPr>
        <vertAlign val="subscript"/>
        <sz val="12"/>
        <color theme="1"/>
        <rFont val="Calibri"/>
        <family val="2"/>
        <scheme val="minor"/>
      </rPr>
      <t>reagent</t>
    </r>
    <r>
      <rPr>
        <sz val="12"/>
        <color theme="1"/>
        <rFont val="Calibri"/>
        <family val="2"/>
        <scheme val="minor"/>
      </rPr>
      <t>/C</t>
    </r>
    <r>
      <rPr>
        <vertAlign val="subscript"/>
        <sz val="12"/>
        <color theme="1"/>
        <rFont val="Calibri"/>
        <family val="2"/>
        <scheme val="minor"/>
      </rPr>
      <t xml:space="preserve">sol </t>
    </r>
    <r>
      <rPr>
        <sz val="12"/>
        <color theme="1"/>
        <rFont val="Calibri"/>
        <family val="2"/>
        <scheme val="minor"/>
      </rPr>
      <t>=</t>
    </r>
  </si>
  <si>
    <r>
      <t>(m</t>
    </r>
    <r>
      <rPr>
        <vertAlign val="subscript"/>
        <sz val="12"/>
        <color theme="1"/>
        <rFont val="Calibri"/>
        <family val="2"/>
        <scheme val="minor"/>
      </rPr>
      <t>sol</t>
    </r>
    <r>
      <rPr>
        <sz val="12"/>
        <color theme="1"/>
        <rFont val="Calibri"/>
        <family val="2"/>
        <scheme val="minor"/>
      </rPr>
      <t xml:space="preserve"> x 7.4805)/Reagent Density =</t>
    </r>
  </si>
  <si>
    <t>gal/hour</t>
  </si>
  <si>
    <t>Estimated tank volume for reagent storage =</t>
  </si>
  <si>
    <r>
      <t>(m</t>
    </r>
    <r>
      <rPr>
        <vertAlign val="subscript"/>
        <sz val="12"/>
        <color theme="1"/>
        <rFont val="Calibri"/>
        <family val="2"/>
        <scheme val="minor"/>
      </rPr>
      <t>sol</t>
    </r>
    <r>
      <rPr>
        <sz val="12"/>
        <color theme="1"/>
        <rFont val="Calibri"/>
        <family val="2"/>
        <scheme val="minor"/>
      </rPr>
      <t xml:space="preserve"> x 7.4805 x t</t>
    </r>
    <r>
      <rPr>
        <vertAlign val="subscript"/>
        <sz val="12"/>
        <color theme="1"/>
        <rFont val="Calibri"/>
        <family val="2"/>
        <scheme val="minor"/>
      </rPr>
      <t>storage</t>
    </r>
    <r>
      <rPr>
        <sz val="12"/>
        <color theme="1"/>
        <rFont val="Calibri"/>
        <family val="2"/>
        <scheme val="minor"/>
      </rPr>
      <t xml:space="preserve"> x 24 hours/day)/Reagent Density =</t>
    </r>
  </si>
  <si>
    <t>Capital Recovery Factor:</t>
  </si>
  <si>
    <t xml:space="preserve">Capital Recovery Factor (CRF) = </t>
  </si>
  <si>
    <r>
      <t>i (1+ i)</t>
    </r>
    <r>
      <rPr>
        <vertAlign val="superscript"/>
        <sz val="12"/>
        <color theme="1"/>
        <rFont val="Calibri"/>
        <family val="2"/>
        <scheme val="minor"/>
      </rPr>
      <t>n</t>
    </r>
    <r>
      <rPr>
        <sz val="12"/>
        <color theme="1"/>
        <rFont val="Calibri"/>
        <family val="2"/>
        <scheme val="minor"/>
      </rPr>
      <t>/(1+ i)</t>
    </r>
    <r>
      <rPr>
        <vertAlign val="superscript"/>
        <sz val="12"/>
        <color theme="1"/>
        <rFont val="Calibri"/>
        <family val="2"/>
        <scheme val="minor"/>
      </rPr>
      <t>n</t>
    </r>
    <r>
      <rPr>
        <sz val="12"/>
        <color theme="1"/>
        <rFont val="Calibri"/>
        <family val="2"/>
        <scheme val="minor"/>
      </rPr>
      <t xml:space="preserve"> - 1 =</t>
    </r>
  </si>
  <si>
    <t>Where n = Equipment Life and i= Interest Rate</t>
  </si>
  <si>
    <t>Electricity Usage:</t>
  </si>
  <si>
    <t xml:space="preserve">Electricity Consumption (P) = </t>
  </si>
  <si>
    <r>
      <t>(0.47 x NOx</t>
    </r>
    <r>
      <rPr>
        <vertAlign val="subscript"/>
        <sz val="12"/>
        <color theme="1"/>
        <rFont val="Calibri"/>
        <family val="2"/>
        <scheme val="minor"/>
      </rPr>
      <t>in</t>
    </r>
    <r>
      <rPr>
        <sz val="12"/>
        <color theme="1"/>
        <rFont val="Calibri"/>
        <family val="2"/>
        <scheme val="minor"/>
      </rPr>
      <t xml:space="preserve"> x NSR x Q</t>
    </r>
    <r>
      <rPr>
        <vertAlign val="subscript"/>
        <sz val="12"/>
        <color theme="1"/>
        <rFont val="Calibri"/>
        <family val="2"/>
        <scheme val="minor"/>
      </rPr>
      <t>B</t>
    </r>
    <r>
      <rPr>
        <sz val="12"/>
        <color theme="1"/>
        <rFont val="Calibri"/>
        <family val="2"/>
        <scheme val="minor"/>
      </rPr>
      <t>)/NPHR =</t>
    </r>
  </si>
  <si>
    <t>kW/hour</t>
  </si>
  <si>
    <t>Water Usage:</t>
  </si>
  <si>
    <r>
      <t>Water consumption (q</t>
    </r>
    <r>
      <rPr>
        <vertAlign val="subscript"/>
        <sz val="12"/>
        <color theme="1"/>
        <rFont val="Calibri"/>
        <family val="2"/>
        <scheme val="minor"/>
      </rPr>
      <t>w</t>
    </r>
    <r>
      <rPr>
        <sz val="12"/>
        <color theme="1"/>
        <rFont val="Calibri"/>
        <family val="2"/>
        <scheme val="minor"/>
      </rPr>
      <t xml:space="preserve">) =                                                                          </t>
    </r>
  </si>
  <si>
    <r>
      <t>(m</t>
    </r>
    <r>
      <rPr>
        <vertAlign val="subscript"/>
        <sz val="12"/>
        <color theme="1"/>
        <rFont val="Calibri"/>
        <family val="2"/>
        <scheme val="minor"/>
      </rPr>
      <t>sol</t>
    </r>
    <r>
      <rPr>
        <sz val="12"/>
        <color theme="1"/>
        <rFont val="Calibri"/>
        <family val="2"/>
        <scheme val="minor"/>
      </rPr>
      <t>/Density of water) x ((C</t>
    </r>
    <r>
      <rPr>
        <vertAlign val="subscript"/>
        <sz val="12"/>
        <color theme="1"/>
        <rFont val="Calibri"/>
        <family val="2"/>
        <scheme val="minor"/>
      </rPr>
      <t>stored</t>
    </r>
    <r>
      <rPr>
        <sz val="12"/>
        <color theme="1"/>
        <rFont val="Calibri"/>
        <family val="2"/>
        <scheme val="minor"/>
      </rPr>
      <t>/C</t>
    </r>
    <r>
      <rPr>
        <vertAlign val="subscript"/>
        <sz val="12"/>
        <color theme="1"/>
        <rFont val="Calibri"/>
        <family val="2"/>
        <scheme val="minor"/>
      </rPr>
      <t>inj</t>
    </r>
    <r>
      <rPr>
        <sz val="12"/>
        <color theme="1"/>
        <rFont val="Calibri"/>
        <family val="2"/>
        <scheme val="minor"/>
      </rPr>
      <t>) - 1) =</t>
    </r>
  </si>
  <si>
    <t>gallons/hour</t>
  </si>
  <si>
    <t>Fuel Data:</t>
  </si>
  <si>
    <r>
      <t>Additional Fuel required to evaporate water in injected reagent (</t>
    </r>
    <r>
      <rPr>
        <sz val="12"/>
        <color theme="1"/>
        <rFont val="Calibri"/>
        <family val="2"/>
      </rPr>
      <t>Δ</t>
    </r>
    <r>
      <rPr>
        <sz val="12"/>
        <color theme="1"/>
        <rFont val="Calibri"/>
        <family val="2"/>
        <scheme val="minor"/>
      </rPr>
      <t>Fuel) =</t>
    </r>
  </si>
  <si>
    <r>
      <t>Hv x m</t>
    </r>
    <r>
      <rPr>
        <vertAlign val="subscript"/>
        <sz val="12"/>
        <color theme="1"/>
        <rFont val="Calibri"/>
        <family val="2"/>
        <scheme val="minor"/>
      </rPr>
      <t>reagent</t>
    </r>
    <r>
      <rPr>
        <sz val="12"/>
        <color theme="1"/>
        <rFont val="Calibri"/>
        <family val="2"/>
        <scheme val="minor"/>
      </rPr>
      <t xml:space="preserve"> x ((1/C</t>
    </r>
    <r>
      <rPr>
        <vertAlign val="subscript"/>
        <sz val="12"/>
        <color theme="1"/>
        <rFont val="Calibri"/>
        <family val="2"/>
        <scheme val="minor"/>
      </rPr>
      <t>inj</t>
    </r>
    <r>
      <rPr>
        <sz val="12"/>
        <color theme="1"/>
        <rFont val="Calibri"/>
        <family val="2"/>
        <scheme val="minor"/>
      </rPr>
      <t>)-1) =</t>
    </r>
  </si>
  <si>
    <t>Ash Disposal:</t>
  </si>
  <si>
    <t>Additional ash produced due to increased fuel consumption (Δash) =</t>
  </si>
  <si>
    <r>
      <t>(</t>
    </r>
    <r>
      <rPr>
        <sz val="12"/>
        <color theme="1"/>
        <rFont val="Calibri"/>
        <family val="2"/>
      </rPr>
      <t>Δ</t>
    </r>
    <r>
      <rPr>
        <sz val="12"/>
        <color theme="1"/>
        <rFont val="Calibri"/>
        <family val="2"/>
        <scheme val="minor"/>
      </rPr>
      <t>fuel x %Ash x 1x10</t>
    </r>
    <r>
      <rPr>
        <vertAlign val="superscript"/>
        <sz val="12"/>
        <color theme="1"/>
        <rFont val="Calibri"/>
        <family val="2"/>
        <scheme val="minor"/>
      </rPr>
      <t>6</t>
    </r>
    <r>
      <rPr>
        <sz val="12"/>
        <color theme="1"/>
        <rFont val="Calibri"/>
        <family val="2"/>
        <scheme val="minor"/>
      </rPr>
      <t>)/HHV =</t>
    </r>
  </si>
  <si>
    <t>Cost Estimate</t>
  </si>
  <si>
    <t>Total Capital Investment (TCI)</t>
  </si>
  <si>
    <t>For Coal-Fired Boilers:</t>
  </si>
  <si>
    <r>
      <t>TCI = 1.3 x (SNCR</t>
    </r>
    <r>
      <rPr>
        <vertAlign val="subscript"/>
        <sz val="12"/>
        <color theme="1"/>
        <rFont val="Calibri"/>
        <family val="2"/>
        <scheme val="minor"/>
      </rPr>
      <t>cost</t>
    </r>
    <r>
      <rPr>
        <sz val="12"/>
        <color theme="1"/>
        <rFont val="Calibri"/>
        <family val="2"/>
        <scheme val="minor"/>
      </rPr>
      <t xml:space="preserve"> + APH</t>
    </r>
    <r>
      <rPr>
        <vertAlign val="subscript"/>
        <sz val="12"/>
        <color theme="1"/>
        <rFont val="Calibri"/>
        <family val="2"/>
        <scheme val="minor"/>
      </rPr>
      <t>cost</t>
    </r>
    <r>
      <rPr>
        <sz val="12"/>
        <color theme="1"/>
        <rFont val="Calibri"/>
        <family val="2"/>
        <scheme val="minor"/>
      </rPr>
      <t xml:space="preserve"> + BOP</t>
    </r>
    <r>
      <rPr>
        <vertAlign val="subscript"/>
        <sz val="12"/>
        <color theme="1"/>
        <rFont val="Calibri"/>
        <family val="2"/>
        <scheme val="minor"/>
      </rPr>
      <t>cost</t>
    </r>
    <r>
      <rPr>
        <sz val="12"/>
        <color theme="1"/>
        <rFont val="Calibri"/>
        <family val="2"/>
        <scheme val="minor"/>
      </rPr>
      <t>)</t>
    </r>
  </si>
  <si>
    <t>For Fuel Oil and Natural Gas-Fired Boilers:</t>
  </si>
  <si>
    <r>
      <t>TCI = 1.3 x (SNCR</t>
    </r>
    <r>
      <rPr>
        <vertAlign val="subscript"/>
        <sz val="12"/>
        <color theme="1"/>
        <rFont val="Calibri"/>
        <family val="2"/>
        <scheme val="minor"/>
      </rPr>
      <t>cost</t>
    </r>
    <r>
      <rPr>
        <sz val="12"/>
        <color theme="1"/>
        <rFont val="Calibri"/>
        <family val="2"/>
        <scheme val="minor"/>
      </rPr>
      <t xml:space="preserve"> + BOP</t>
    </r>
    <r>
      <rPr>
        <vertAlign val="subscript"/>
        <sz val="12"/>
        <color theme="1"/>
        <rFont val="Calibri"/>
        <family val="2"/>
        <scheme val="minor"/>
      </rPr>
      <t>cost</t>
    </r>
    <r>
      <rPr>
        <sz val="12"/>
        <color theme="1"/>
        <rFont val="Calibri"/>
        <family val="2"/>
        <scheme val="minor"/>
      </rPr>
      <t>)</t>
    </r>
  </si>
  <si>
    <r>
      <t>Capital costs for the SNCR (SNCR</t>
    </r>
    <r>
      <rPr>
        <vertAlign val="subscript"/>
        <sz val="12"/>
        <color theme="1"/>
        <rFont val="Calibri"/>
        <family val="2"/>
        <scheme val="minor"/>
      </rPr>
      <t>cost</t>
    </r>
    <r>
      <rPr>
        <sz val="12"/>
        <color theme="1"/>
        <rFont val="Calibri"/>
        <family val="2"/>
        <scheme val="minor"/>
      </rPr>
      <t>) =</t>
    </r>
  </si>
  <si>
    <r>
      <t>Air Pre-Heater Costs (APH</t>
    </r>
    <r>
      <rPr>
        <vertAlign val="subscript"/>
        <sz val="12"/>
        <color theme="1"/>
        <rFont val="Calibri"/>
        <family val="2"/>
        <scheme val="minor"/>
      </rPr>
      <t>cost</t>
    </r>
    <r>
      <rPr>
        <sz val="12"/>
        <color theme="1"/>
        <rFont val="Calibri"/>
        <family val="2"/>
        <scheme val="minor"/>
      </rPr>
      <t xml:space="preserve">)* = </t>
    </r>
  </si>
  <si>
    <r>
      <t>Balance of Plant Costs (BOP</t>
    </r>
    <r>
      <rPr>
        <vertAlign val="subscript"/>
        <sz val="12"/>
        <color theme="1"/>
        <rFont val="Calibri"/>
        <family val="2"/>
        <scheme val="minor"/>
      </rPr>
      <t>cost</t>
    </r>
    <r>
      <rPr>
        <sz val="12"/>
        <color theme="1"/>
        <rFont val="Calibri"/>
        <family val="2"/>
        <scheme val="minor"/>
      </rPr>
      <t>) =</t>
    </r>
  </si>
  <si>
    <t>Total Capital Investment (TCI) =</t>
  </si>
  <si>
    <r>
      <t>SNCR Capital Costs (SNCR</t>
    </r>
    <r>
      <rPr>
        <b/>
        <vertAlign val="subscript"/>
        <sz val="12"/>
        <color theme="1"/>
        <rFont val="Calibri"/>
        <family val="2"/>
        <scheme val="minor"/>
      </rPr>
      <t>cost</t>
    </r>
    <r>
      <rPr>
        <b/>
        <sz val="12"/>
        <color theme="1"/>
        <rFont val="Calibri"/>
        <family val="2"/>
        <scheme val="minor"/>
      </rPr>
      <t>)</t>
    </r>
  </si>
  <si>
    <t>For Coal-Fired Utility Boilers:</t>
  </si>
  <si>
    <r>
      <t>SNCR</t>
    </r>
    <r>
      <rPr>
        <vertAlign val="subscript"/>
        <sz val="12"/>
        <color theme="1"/>
        <rFont val="Calibri"/>
        <family val="2"/>
        <scheme val="minor"/>
      </rPr>
      <t>cost</t>
    </r>
    <r>
      <rPr>
        <sz val="12"/>
        <color theme="1"/>
        <rFont val="Calibri"/>
        <family val="2"/>
        <scheme val="minor"/>
      </rPr>
      <t xml:space="preserve"> = 220,000 x (B</t>
    </r>
    <r>
      <rPr>
        <vertAlign val="subscript"/>
        <sz val="12"/>
        <color theme="1"/>
        <rFont val="Calibri"/>
        <family val="2"/>
        <scheme val="minor"/>
      </rPr>
      <t>MW</t>
    </r>
    <r>
      <rPr>
        <sz val="12"/>
        <color theme="1"/>
        <rFont val="Calibri"/>
        <family val="2"/>
        <scheme val="minor"/>
      </rPr>
      <t xml:space="preserve"> x HRF)</t>
    </r>
    <r>
      <rPr>
        <vertAlign val="superscript"/>
        <sz val="12"/>
        <color theme="1"/>
        <rFont val="Calibri"/>
        <family val="2"/>
        <scheme val="minor"/>
      </rPr>
      <t>0.42</t>
    </r>
    <r>
      <rPr>
        <sz val="12"/>
        <color theme="1"/>
        <rFont val="Calibri"/>
        <family val="2"/>
        <scheme val="minor"/>
      </rPr>
      <t xml:space="preserve"> x CoalF x BTF x ELEVF x RF</t>
    </r>
  </si>
  <si>
    <t>For Fuel Oil and Natural Gas-Fired Utility Boilers:</t>
  </si>
  <si>
    <r>
      <t>SNCR</t>
    </r>
    <r>
      <rPr>
        <vertAlign val="subscript"/>
        <sz val="12"/>
        <color theme="1"/>
        <rFont val="Calibri"/>
        <family val="2"/>
        <scheme val="minor"/>
      </rPr>
      <t>cost</t>
    </r>
    <r>
      <rPr>
        <sz val="12"/>
        <color theme="1"/>
        <rFont val="Calibri"/>
        <family val="2"/>
        <scheme val="minor"/>
      </rPr>
      <t xml:space="preserve"> = 147,000 x (B</t>
    </r>
    <r>
      <rPr>
        <vertAlign val="subscript"/>
        <sz val="12"/>
        <color theme="1"/>
        <rFont val="Calibri"/>
        <family val="2"/>
        <scheme val="minor"/>
      </rPr>
      <t>MW</t>
    </r>
    <r>
      <rPr>
        <sz val="12"/>
        <color theme="1"/>
        <rFont val="Calibri"/>
        <family val="2"/>
        <scheme val="minor"/>
      </rPr>
      <t xml:space="preserve"> x HRF)</t>
    </r>
    <r>
      <rPr>
        <vertAlign val="superscript"/>
        <sz val="12"/>
        <color theme="1"/>
        <rFont val="Calibri"/>
        <family val="2"/>
        <scheme val="minor"/>
      </rPr>
      <t>0.42</t>
    </r>
    <r>
      <rPr>
        <sz val="12"/>
        <color theme="1"/>
        <rFont val="Calibri"/>
        <family val="2"/>
        <scheme val="minor"/>
      </rPr>
      <t xml:space="preserve"> x ELEVF x RF</t>
    </r>
  </si>
  <si>
    <t>For Coal-Fired Industrial Boilers:</t>
  </si>
  <si>
    <r>
      <t>SNCR</t>
    </r>
    <r>
      <rPr>
        <vertAlign val="subscript"/>
        <sz val="12"/>
        <color theme="1"/>
        <rFont val="Calibri"/>
        <family val="2"/>
        <scheme val="minor"/>
      </rPr>
      <t>cost</t>
    </r>
    <r>
      <rPr>
        <sz val="12"/>
        <color theme="1"/>
        <rFont val="Calibri"/>
        <family val="2"/>
        <scheme val="minor"/>
      </rPr>
      <t xml:space="preserve"> = 220,000 x (0.1 x Q</t>
    </r>
    <r>
      <rPr>
        <vertAlign val="subscript"/>
        <sz val="12"/>
        <color theme="1"/>
        <rFont val="Calibri"/>
        <family val="2"/>
        <scheme val="minor"/>
      </rPr>
      <t>B</t>
    </r>
    <r>
      <rPr>
        <sz val="12"/>
        <color theme="1"/>
        <rFont val="Calibri"/>
        <family val="2"/>
        <scheme val="minor"/>
      </rPr>
      <t xml:space="preserve"> x HRF)</t>
    </r>
    <r>
      <rPr>
        <vertAlign val="superscript"/>
        <sz val="12"/>
        <color theme="1"/>
        <rFont val="Calibri"/>
        <family val="2"/>
        <scheme val="minor"/>
      </rPr>
      <t>0.42</t>
    </r>
    <r>
      <rPr>
        <sz val="12"/>
        <color theme="1"/>
        <rFont val="Calibri"/>
        <family val="2"/>
        <scheme val="minor"/>
      </rPr>
      <t xml:space="preserve"> x CoalF x BTF x ELEVF x RF</t>
    </r>
  </si>
  <si>
    <t>For Fuel Oil and Natural Gas-Fired Industrial Boilers:</t>
  </si>
  <si>
    <r>
      <t>SNCR</t>
    </r>
    <r>
      <rPr>
        <vertAlign val="subscript"/>
        <sz val="12"/>
        <color theme="1"/>
        <rFont val="Calibri"/>
        <family val="2"/>
        <scheme val="minor"/>
      </rPr>
      <t>cost</t>
    </r>
    <r>
      <rPr>
        <sz val="12"/>
        <color theme="1"/>
        <rFont val="Calibri"/>
        <family val="2"/>
        <scheme val="minor"/>
      </rPr>
      <t xml:space="preserve"> = 147,000 x ((Q</t>
    </r>
    <r>
      <rPr>
        <vertAlign val="subscript"/>
        <sz val="12"/>
        <color theme="1"/>
        <rFont val="Calibri"/>
        <family val="2"/>
        <scheme val="minor"/>
      </rPr>
      <t>B</t>
    </r>
    <r>
      <rPr>
        <sz val="12"/>
        <color theme="1"/>
        <rFont val="Calibri"/>
        <family val="2"/>
        <scheme val="minor"/>
      </rPr>
      <t>/NPHR)x HRF)</t>
    </r>
    <r>
      <rPr>
        <vertAlign val="superscript"/>
        <sz val="12"/>
        <color theme="1"/>
        <rFont val="Calibri"/>
        <family val="2"/>
        <scheme val="minor"/>
      </rPr>
      <t>0.42</t>
    </r>
    <r>
      <rPr>
        <sz val="12"/>
        <color theme="1"/>
        <rFont val="Calibri"/>
        <family val="2"/>
        <scheme val="minor"/>
      </rPr>
      <t xml:space="preserve"> x ELEVF x RF</t>
    </r>
  </si>
  <si>
    <r>
      <t>SNCR Capital Costs (SNCR</t>
    </r>
    <r>
      <rPr>
        <vertAlign val="subscript"/>
        <sz val="12"/>
        <color theme="1"/>
        <rFont val="Calibri"/>
        <family val="2"/>
        <scheme val="minor"/>
      </rPr>
      <t>cost</t>
    </r>
    <r>
      <rPr>
        <sz val="12"/>
        <color theme="1"/>
        <rFont val="Calibri"/>
        <family val="2"/>
        <scheme val="minor"/>
      </rPr>
      <t xml:space="preserve">) = </t>
    </r>
  </si>
  <si>
    <t>ELEVF</t>
  </si>
  <si>
    <r>
      <t>Air Pre-Heater Costs (APH</t>
    </r>
    <r>
      <rPr>
        <b/>
        <vertAlign val="subscript"/>
        <sz val="12"/>
        <color theme="1"/>
        <rFont val="Calibri"/>
        <family val="2"/>
        <scheme val="minor"/>
      </rPr>
      <t>cost</t>
    </r>
    <r>
      <rPr>
        <b/>
        <sz val="12"/>
        <color theme="1"/>
        <rFont val="Calibri"/>
        <family val="2"/>
        <scheme val="minor"/>
      </rPr>
      <t>)*</t>
    </r>
  </si>
  <si>
    <r>
      <t xml:space="preserve"> APH</t>
    </r>
    <r>
      <rPr>
        <vertAlign val="subscript"/>
        <sz val="12"/>
        <color theme="1"/>
        <rFont val="Calibri"/>
        <family val="2"/>
        <scheme val="minor"/>
      </rPr>
      <t>cost</t>
    </r>
    <r>
      <rPr>
        <sz val="12"/>
        <color theme="1"/>
        <rFont val="Calibri"/>
        <family val="2"/>
        <scheme val="minor"/>
      </rPr>
      <t xml:space="preserve"> = 69,000 x (B</t>
    </r>
    <r>
      <rPr>
        <vertAlign val="subscript"/>
        <sz val="12"/>
        <color theme="1"/>
        <rFont val="Calibri"/>
        <family val="2"/>
        <scheme val="minor"/>
      </rPr>
      <t>MW</t>
    </r>
    <r>
      <rPr>
        <sz val="12"/>
        <color theme="1"/>
        <rFont val="Calibri"/>
        <family val="2"/>
        <scheme val="minor"/>
      </rPr>
      <t xml:space="preserve"> x HRF x CoalF)</t>
    </r>
    <r>
      <rPr>
        <vertAlign val="superscript"/>
        <sz val="12"/>
        <color theme="1"/>
        <rFont val="Calibri"/>
        <family val="2"/>
        <scheme val="minor"/>
      </rPr>
      <t>0.78</t>
    </r>
    <r>
      <rPr>
        <sz val="12"/>
        <color theme="1"/>
        <rFont val="Calibri"/>
        <family val="2"/>
        <scheme val="minor"/>
      </rPr>
      <t xml:space="preserve"> x AHF x RF</t>
    </r>
  </si>
  <si>
    <r>
      <t xml:space="preserve"> APH</t>
    </r>
    <r>
      <rPr>
        <vertAlign val="subscript"/>
        <sz val="12"/>
        <color theme="1"/>
        <rFont val="Calibri"/>
        <family val="2"/>
        <scheme val="minor"/>
      </rPr>
      <t>cost</t>
    </r>
    <r>
      <rPr>
        <sz val="12"/>
        <color theme="1"/>
        <rFont val="Calibri"/>
        <family val="2"/>
        <scheme val="minor"/>
      </rPr>
      <t xml:space="preserve"> = 69,000 x (0.1 x Q</t>
    </r>
    <r>
      <rPr>
        <vertAlign val="subscript"/>
        <sz val="12"/>
        <color theme="1"/>
        <rFont val="Calibri"/>
        <family val="2"/>
        <scheme val="minor"/>
      </rPr>
      <t>B</t>
    </r>
    <r>
      <rPr>
        <sz val="12"/>
        <color theme="1"/>
        <rFont val="Calibri"/>
        <family val="2"/>
        <scheme val="minor"/>
      </rPr>
      <t xml:space="preserve"> x HRF x CoalF)</t>
    </r>
    <r>
      <rPr>
        <vertAlign val="superscript"/>
        <sz val="12"/>
        <color theme="1"/>
        <rFont val="Calibri"/>
        <family val="2"/>
        <scheme val="minor"/>
      </rPr>
      <t>0.78</t>
    </r>
    <r>
      <rPr>
        <sz val="12"/>
        <color theme="1"/>
        <rFont val="Calibri"/>
        <family val="2"/>
        <scheme val="minor"/>
      </rPr>
      <t xml:space="preserve"> x AHF x RF</t>
    </r>
  </si>
  <si>
    <r>
      <t>Air Pre-Heater Costs (APH</t>
    </r>
    <r>
      <rPr>
        <vertAlign val="subscript"/>
        <sz val="12"/>
        <color theme="1"/>
        <rFont val="Calibri"/>
        <family val="2"/>
        <scheme val="minor"/>
      </rPr>
      <t>cost</t>
    </r>
    <r>
      <rPr>
        <sz val="12"/>
        <color theme="1"/>
        <rFont val="Calibri"/>
        <family val="2"/>
        <scheme val="minor"/>
      </rPr>
      <t xml:space="preserve">) = </t>
    </r>
  </si>
  <si>
    <r>
      <t>Balance of Plant Costs (BOP</t>
    </r>
    <r>
      <rPr>
        <b/>
        <vertAlign val="subscript"/>
        <sz val="12"/>
        <color theme="1"/>
        <rFont val="Calibri"/>
        <family val="2"/>
        <scheme val="minor"/>
      </rPr>
      <t>cost</t>
    </r>
    <r>
      <rPr>
        <b/>
        <sz val="12"/>
        <color theme="1"/>
        <rFont val="Calibri"/>
        <family val="2"/>
        <scheme val="minor"/>
      </rPr>
      <t>)</t>
    </r>
  </si>
  <si>
    <r>
      <t>BOP</t>
    </r>
    <r>
      <rPr>
        <vertAlign val="subscript"/>
        <sz val="12"/>
        <color theme="1"/>
        <rFont val="Calibri"/>
        <family val="2"/>
        <scheme val="minor"/>
      </rPr>
      <t>cost</t>
    </r>
    <r>
      <rPr>
        <sz val="12"/>
        <color theme="1"/>
        <rFont val="Calibri"/>
        <family val="2"/>
        <scheme val="minor"/>
      </rPr>
      <t xml:space="preserve"> = 320,000 x (B</t>
    </r>
    <r>
      <rPr>
        <vertAlign val="subscript"/>
        <sz val="12"/>
        <color theme="1"/>
        <rFont val="Calibri"/>
        <family val="2"/>
        <scheme val="minor"/>
      </rPr>
      <t>MW</t>
    </r>
    <r>
      <rPr>
        <sz val="12"/>
        <color theme="1"/>
        <rFont val="Calibri"/>
        <family val="2"/>
        <scheme val="minor"/>
      </rPr>
      <t>)</t>
    </r>
    <r>
      <rPr>
        <vertAlign val="superscript"/>
        <sz val="12"/>
        <color theme="1"/>
        <rFont val="Calibri"/>
        <family val="2"/>
        <scheme val="minor"/>
      </rPr>
      <t>0.33</t>
    </r>
    <r>
      <rPr>
        <sz val="12"/>
        <color theme="1"/>
        <rFont val="Calibri"/>
        <family val="2"/>
        <scheme val="minor"/>
      </rPr>
      <t xml:space="preserve"> x (NO</t>
    </r>
    <r>
      <rPr>
        <vertAlign val="subscript"/>
        <sz val="12"/>
        <color theme="1"/>
        <rFont val="Calibri"/>
        <family val="2"/>
        <scheme val="minor"/>
      </rPr>
      <t>x</t>
    </r>
    <r>
      <rPr>
        <sz val="12"/>
        <color theme="1"/>
        <rFont val="Calibri"/>
        <family val="2"/>
        <scheme val="minor"/>
      </rPr>
      <t>Removed/hr)</t>
    </r>
    <r>
      <rPr>
        <vertAlign val="superscript"/>
        <sz val="12"/>
        <color theme="1"/>
        <rFont val="Calibri"/>
        <family val="2"/>
        <scheme val="minor"/>
      </rPr>
      <t>0.12</t>
    </r>
    <r>
      <rPr>
        <sz val="12"/>
        <color theme="1"/>
        <rFont val="Calibri"/>
        <family val="2"/>
        <scheme val="minor"/>
      </rPr>
      <t xml:space="preserve"> x BTF x RF</t>
    </r>
  </si>
  <si>
    <r>
      <t>BOP</t>
    </r>
    <r>
      <rPr>
        <vertAlign val="subscript"/>
        <sz val="12"/>
        <color theme="1"/>
        <rFont val="Calibri"/>
        <family val="2"/>
        <scheme val="minor"/>
      </rPr>
      <t>cost</t>
    </r>
    <r>
      <rPr>
        <sz val="12"/>
        <color theme="1"/>
        <rFont val="Calibri"/>
        <family val="2"/>
        <scheme val="minor"/>
      </rPr>
      <t xml:space="preserve"> = 213,000 x (B</t>
    </r>
    <r>
      <rPr>
        <vertAlign val="subscript"/>
        <sz val="12"/>
        <color theme="1"/>
        <rFont val="Calibri"/>
        <family val="2"/>
        <scheme val="minor"/>
      </rPr>
      <t>MW</t>
    </r>
    <r>
      <rPr>
        <sz val="12"/>
        <color theme="1"/>
        <rFont val="Calibri"/>
        <family val="2"/>
        <scheme val="minor"/>
      </rPr>
      <t>)</t>
    </r>
    <r>
      <rPr>
        <vertAlign val="superscript"/>
        <sz val="12"/>
        <color theme="1"/>
        <rFont val="Calibri"/>
        <family val="2"/>
        <scheme val="minor"/>
      </rPr>
      <t>0.33</t>
    </r>
    <r>
      <rPr>
        <sz val="12"/>
        <color theme="1"/>
        <rFont val="Calibri"/>
        <family val="2"/>
        <scheme val="minor"/>
      </rPr>
      <t xml:space="preserve"> x (NO</t>
    </r>
    <r>
      <rPr>
        <vertAlign val="subscript"/>
        <sz val="12"/>
        <color theme="1"/>
        <rFont val="Calibri"/>
        <family val="2"/>
        <scheme val="minor"/>
      </rPr>
      <t>x</t>
    </r>
    <r>
      <rPr>
        <sz val="12"/>
        <color theme="1"/>
        <rFont val="Calibri"/>
        <family val="2"/>
        <scheme val="minor"/>
      </rPr>
      <t>Removed/hr)</t>
    </r>
    <r>
      <rPr>
        <vertAlign val="superscript"/>
        <sz val="12"/>
        <color theme="1"/>
        <rFont val="Calibri"/>
        <family val="2"/>
        <scheme val="minor"/>
      </rPr>
      <t>0.12</t>
    </r>
    <r>
      <rPr>
        <sz val="12"/>
        <color theme="1"/>
        <rFont val="Calibri"/>
        <family val="2"/>
        <scheme val="minor"/>
      </rPr>
      <t xml:space="preserve"> x RF</t>
    </r>
  </si>
  <si>
    <r>
      <t>BOP</t>
    </r>
    <r>
      <rPr>
        <vertAlign val="subscript"/>
        <sz val="12"/>
        <color theme="1"/>
        <rFont val="Calibri"/>
        <family val="2"/>
        <scheme val="minor"/>
      </rPr>
      <t>cost</t>
    </r>
    <r>
      <rPr>
        <sz val="12"/>
        <color theme="1"/>
        <rFont val="Calibri"/>
        <family val="2"/>
        <scheme val="minor"/>
      </rPr>
      <t xml:space="preserve"> = 320,000 x (0.1 x Q</t>
    </r>
    <r>
      <rPr>
        <vertAlign val="subscript"/>
        <sz val="12"/>
        <color theme="1"/>
        <rFont val="Calibri"/>
        <family val="2"/>
        <scheme val="minor"/>
      </rPr>
      <t>B</t>
    </r>
    <r>
      <rPr>
        <sz val="12"/>
        <color theme="1"/>
        <rFont val="Calibri"/>
        <family val="2"/>
        <scheme val="minor"/>
      </rPr>
      <t>)</t>
    </r>
    <r>
      <rPr>
        <vertAlign val="superscript"/>
        <sz val="12"/>
        <color theme="1"/>
        <rFont val="Calibri"/>
        <family val="2"/>
        <scheme val="minor"/>
      </rPr>
      <t>0.33</t>
    </r>
    <r>
      <rPr>
        <sz val="12"/>
        <color theme="1"/>
        <rFont val="Calibri"/>
        <family val="2"/>
        <scheme val="minor"/>
      </rPr>
      <t xml:space="preserve"> x (NO</t>
    </r>
    <r>
      <rPr>
        <vertAlign val="subscript"/>
        <sz val="12"/>
        <color theme="1"/>
        <rFont val="Calibri"/>
        <family val="2"/>
        <scheme val="minor"/>
      </rPr>
      <t>x</t>
    </r>
    <r>
      <rPr>
        <sz val="12"/>
        <color theme="1"/>
        <rFont val="Calibri"/>
        <family val="2"/>
        <scheme val="minor"/>
      </rPr>
      <t>Removed/hr)</t>
    </r>
    <r>
      <rPr>
        <vertAlign val="superscript"/>
        <sz val="12"/>
        <color theme="1"/>
        <rFont val="Calibri"/>
        <family val="2"/>
        <scheme val="minor"/>
      </rPr>
      <t>0.12</t>
    </r>
    <r>
      <rPr>
        <sz val="12"/>
        <color theme="1"/>
        <rFont val="Calibri"/>
        <family val="2"/>
        <scheme val="minor"/>
      </rPr>
      <t xml:space="preserve"> x BTF x RF</t>
    </r>
  </si>
  <si>
    <r>
      <t>BOP</t>
    </r>
    <r>
      <rPr>
        <vertAlign val="subscript"/>
        <sz val="12"/>
        <color theme="1"/>
        <rFont val="Calibri"/>
        <family val="2"/>
        <scheme val="minor"/>
      </rPr>
      <t>cost</t>
    </r>
    <r>
      <rPr>
        <sz val="12"/>
        <color theme="1"/>
        <rFont val="Calibri"/>
        <family val="2"/>
        <scheme val="minor"/>
      </rPr>
      <t xml:space="preserve"> = 213,000 x (Q</t>
    </r>
    <r>
      <rPr>
        <vertAlign val="subscript"/>
        <sz val="12"/>
        <color theme="1"/>
        <rFont val="Calibri"/>
        <family val="2"/>
        <scheme val="minor"/>
      </rPr>
      <t>B</t>
    </r>
    <r>
      <rPr>
        <sz val="12"/>
        <color theme="1"/>
        <rFont val="Calibri"/>
        <family val="2"/>
        <scheme val="minor"/>
      </rPr>
      <t>/NPHR)</t>
    </r>
    <r>
      <rPr>
        <vertAlign val="superscript"/>
        <sz val="12"/>
        <color theme="1"/>
        <rFont val="Calibri"/>
        <family val="2"/>
        <scheme val="minor"/>
      </rPr>
      <t>0.33</t>
    </r>
    <r>
      <rPr>
        <sz val="12"/>
        <color theme="1"/>
        <rFont val="Calibri"/>
        <family val="2"/>
        <scheme val="minor"/>
      </rPr>
      <t xml:space="preserve"> x (NO</t>
    </r>
    <r>
      <rPr>
        <vertAlign val="subscript"/>
        <sz val="12"/>
        <color theme="1"/>
        <rFont val="Calibri"/>
        <family val="2"/>
        <scheme val="minor"/>
      </rPr>
      <t>x</t>
    </r>
    <r>
      <rPr>
        <sz val="12"/>
        <color theme="1"/>
        <rFont val="Calibri"/>
        <family val="2"/>
        <scheme val="minor"/>
      </rPr>
      <t>Removed/hr)</t>
    </r>
    <r>
      <rPr>
        <vertAlign val="superscript"/>
        <sz val="12"/>
        <color theme="1"/>
        <rFont val="Calibri"/>
        <family val="2"/>
        <scheme val="minor"/>
      </rPr>
      <t xml:space="preserve">0.12 </t>
    </r>
    <r>
      <rPr>
        <sz val="12"/>
        <color theme="1"/>
        <rFont val="Calibri"/>
        <family val="2"/>
        <scheme val="minor"/>
      </rPr>
      <t>x RF</t>
    </r>
  </si>
  <si>
    <t>BTF</t>
  </si>
  <si>
    <t>Annual Costs</t>
  </si>
  <si>
    <t>Total Annual Cost (TAC)</t>
  </si>
  <si>
    <t>TAC = Direct Annual Costs + Indirect Annual Costs</t>
  </si>
  <si>
    <t>Direct Annual Costs (DAC) =</t>
  </si>
  <si>
    <t>Indirect Annual Costs (IDAC) =</t>
  </si>
  <si>
    <t>Total annual costs (TAC) = DAC + IDAC</t>
  </si>
  <si>
    <t>Direct Annual Costs (DAC)</t>
  </si>
  <si>
    <t>DAC = (Annual Maintenance Cost) + (Annual Reagent Cost) + (Annual Electricity Cost) + (Annual Water Cost) + (Annual Fuel Cost) + (Annual Ash Cost)</t>
  </si>
  <si>
    <t>Annual Maintenance Cost =</t>
  </si>
  <si>
    <t>Annual Reagent Cost =</t>
  </si>
  <si>
    <r>
      <t>q</t>
    </r>
    <r>
      <rPr>
        <vertAlign val="subscript"/>
        <sz val="12"/>
        <color theme="1"/>
        <rFont val="Calibri"/>
        <family val="2"/>
        <scheme val="minor"/>
      </rPr>
      <t>sol</t>
    </r>
    <r>
      <rPr>
        <sz val="12"/>
        <color theme="1"/>
        <rFont val="Calibri"/>
        <family val="2"/>
        <scheme val="minor"/>
      </rPr>
      <t xml:space="preserve"> x Cost</t>
    </r>
    <r>
      <rPr>
        <vertAlign val="subscript"/>
        <sz val="12"/>
        <color theme="1"/>
        <rFont val="Calibri"/>
        <family val="2"/>
        <scheme val="minor"/>
      </rPr>
      <t>reag</t>
    </r>
    <r>
      <rPr>
        <sz val="12"/>
        <color theme="1"/>
        <rFont val="Calibri"/>
        <family val="2"/>
        <scheme val="minor"/>
      </rPr>
      <t xml:space="preserve"> x t</t>
    </r>
    <r>
      <rPr>
        <vertAlign val="subscript"/>
        <sz val="12"/>
        <color theme="1"/>
        <rFont val="Calibri"/>
        <family val="2"/>
        <scheme val="minor"/>
      </rPr>
      <t xml:space="preserve">op </t>
    </r>
    <r>
      <rPr>
        <sz val="12"/>
        <color theme="1"/>
        <rFont val="Calibri"/>
        <family val="2"/>
        <scheme val="minor"/>
      </rPr>
      <t>=</t>
    </r>
  </si>
  <si>
    <t>Annual Electricity Cost =</t>
  </si>
  <si>
    <r>
      <t>P x Cost</t>
    </r>
    <r>
      <rPr>
        <vertAlign val="subscript"/>
        <sz val="12"/>
        <color theme="1"/>
        <rFont val="Calibri"/>
        <family val="2"/>
        <scheme val="minor"/>
      </rPr>
      <t>elect</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 </t>
    </r>
  </si>
  <si>
    <t>Annual Water Cost =</t>
  </si>
  <si>
    <r>
      <t>q</t>
    </r>
    <r>
      <rPr>
        <vertAlign val="subscript"/>
        <sz val="12"/>
        <color theme="1"/>
        <rFont val="Calibri"/>
        <family val="2"/>
        <scheme val="minor"/>
      </rPr>
      <t>water</t>
    </r>
    <r>
      <rPr>
        <sz val="12"/>
        <color theme="1"/>
        <rFont val="Calibri"/>
        <family val="2"/>
        <scheme val="minor"/>
      </rPr>
      <t xml:space="preserve"> x Cost</t>
    </r>
    <r>
      <rPr>
        <vertAlign val="subscript"/>
        <sz val="12"/>
        <color theme="1"/>
        <rFont val="Calibri"/>
        <family val="2"/>
        <scheme val="minor"/>
      </rPr>
      <t>water</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t>
    </r>
  </si>
  <si>
    <t>Additional Fuel Cost  =</t>
  </si>
  <si>
    <r>
      <t>ΔFuel x Cost</t>
    </r>
    <r>
      <rPr>
        <vertAlign val="subscript"/>
        <sz val="12"/>
        <color theme="1"/>
        <rFont val="Calibri"/>
        <family val="2"/>
        <scheme val="minor"/>
      </rPr>
      <t>fuel</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t>
    </r>
  </si>
  <si>
    <t>Additional Ash Cost =</t>
  </si>
  <si>
    <r>
      <t>ΔAsh x Cost</t>
    </r>
    <r>
      <rPr>
        <vertAlign val="subscript"/>
        <sz val="12"/>
        <color theme="1"/>
        <rFont val="Calibri"/>
        <family val="2"/>
        <scheme val="minor"/>
      </rPr>
      <t>ash</t>
    </r>
    <r>
      <rPr>
        <sz val="12"/>
        <color theme="1"/>
        <rFont val="Calibri"/>
        <family val="2"/>
        <scheme val="minor"/>
      </rPr>
      <t xml:space="preserve"> x t</t>
    </r>
    <r>
      <rPr>
        <vertAlign val="subscript"/>
        <sz val="12"/>
        <color theme="1"/>
        <rFont val="Calibri"/>
        <family val="2"/>
        <scheme val="minor"/>
      </rPr>
      <t>op</t>
    </r>
    <r>
      <rPr>
        <sz val="12"/>
        <color theme="1"/>
        <rFont val="Calibri"/>
        <family val="2"/>
        <scheme val="minor"/>
      </rPr>
      <t xml:space="preserve"> x (1/2000) =</t>
    </r>
  </si>
  <si>
    <t xml:space="preserve">Direct Annual Cost = </t>
  </si>
  <si>
    <t>Indirect Annual Cost (IDAC)</t>
  </si>
  <si>
    <t>IDAC = Administrative Charges + Capital Recovery Costs</t>
  </si>
  <si>
    <t xml:space="preserve">Administrative Charges (AC) = </t>
  </si>
  <si>
    <t>Capital Recovery Costs (CR)=</t>
  </si>
  <si>
    <t>CRF x TCI =</t>
  </si>
  <si>
    <t>Indirect Annual Cost (IDAC) =</t>
  </si>
  <si>
    <t>AC + CR =</t>
  </si>
  <si>
    <t>Cost Effectiveness</t>
  </si>
  <si>
    <t>Cost Effectiveness = Total Annual Cost/ NOx Removed/year</t>
  </si>
  <si>
    <t>Total Annual Cost (TAC) =</t>
  </si>
  <si>
    <t>NOx Removed =</t>
  </si>
  <si>
    <t xml:space="preserve">Cost Effectiveness =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</si>
</sst>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7" formatCode="&quot;$&quot;#,##0.00_);\(&quot;$&quot;#,##0.00\)"/>
    <numFmt numFmtId="164" formatCode="&quot;$&quot;#,##0.00"/>
    <numFmt numFmtId="165" formatCode="0.0000"/>
    <numFmt numFmtId="166" formatCode="&quot;$&quot;#,##0"/>
    <numFmt numFmtId="167" formatCode="0.0"/>
    <numFmt numFmtId="168" formatCode="0.00000"/>
    <numFmt numFmtId="169" formatCode="0.000"/>
  </numFmts>
  <fonts count="56" x14ac:knownFonts="1">
    <font>
      <sz val="11"/>
      <color theme="1"/>
      <name val="Calibri"/>
      <family val="2"/>
      <scheme val="minor"/>
    </font>
    <font>
      <b/>
      <sz val="11"/>
      <color theme="1"/>
      <name val="Calibri"/>
      <family val="2"/>
      <scheme val="minor"/>
    </font>
    <font>
      <b/>
      <sz val="11"/>
      <color theme="0"/>
      <name val="Calibri"/>
      <family val="2"/>
      <scheme val="minor"/>
    </font>
    <font>
      <sz val="11"/>
      <color theme="0"/>
      <name val="Calibri"/>
      <family val="2"/>
      <scheme val="minor"/>
    </font>
    <font>
      <vertAlign val="subscript"/>
      <sz val="11"/>
      <color theme="1"/>
      <name val="Calibri"/>
      <family val="2"/>
      <scheme val="minor"/>
    </font>
    <font>
      <b/>
      <sz val="11"/>
      <color theme="8" tint="-0.249977111117893"/>
      <name val="Calibri"/>
      <family val="2"/>
      <scheme val="minor"/>
    </font>
    <font>
      <sz val="11"/>
      <color theme="8" tint="-0.249977111117893"/>
      <name val="Calibri"/>
      <family val="2"/>
      <scheme val="minor"/>
    </font>
    <font>
      <b/>
      <sz val="14"/>
      <color theme="0"/>
      <name val="Calibri"/>
      <family val="2"/>
      <scheme val="minor"/>
    </font>
    <font>
      <sz val="14"/>
      <color theme="1"/>
      <name val="Calibri"/>
      <family val="2"/>
      <scheme val="minor"/>
    </font>
    <font>
      <sz val="14"/>
      <color theme="0"/>
      <name val="Calibri"/>
      <family val="2"/>
      <scheme val="minor"/>
    </font>
    <font>
      <b/>
      <sz val="18"/>
      <color theme="0"/>
      <name val="Calibri"/>
      <family val="2"/>
      <scheme val="minor"/>
    </font>
    <font>
      <sz val="18"/>
      <color theme="1"/>
      <name val="Calibri"/>
      <family val="2"/>
      <scheme val="minor"/>
    </font>
    <font>
      <sz val="18"/>
      <color theme="0"/>
      <name val="Calibri"/>
      <family val="2"/>
      <scheme val="minor"/>
    </font>
    <font>
      <sz val="20"/>
      <color theme="1"/>
      <name val="Calibri"/>
      <family val="2"/>
      <scheme val="minor"/>
    </font>
    <font>
      <sz val="11"/>
      <color rgb="FFFF0000"/>
      <name val="Calibri"/>
      <family val="2"/>
      <scheme val="minor"/>
    </font>
    <font>
      <sz val="12"/>
      <color theme="1"/>
      <name val="Calibri"/>
      <family val="2"/>
      <scheme val="minor"/>
    </font>
    <font>
      <sz val="12"/>
      <color theme="0"/>
      <name val="Calibri"/>
      <family val="2"/>
      <scheme val="minor"/>
    </font>
    <font>
      <sz val="10"/>
      <color theme="1"/>
      <name val="Calibri"/>
      <family val="2"/>
      <scheme val="minor"/>
    </font>
    <font>
      <b/>
      <sz val="12"/>
      <color theme="1"/>
      <name val="Calibri"/>
      <family val="2"/>
      <scheme val="minor"/>
    </font>
    <font>
      <vertAlign val="subscript"/>
      <sz val="12"/>
      <color theme="1"/>
      <name val="Calibri"/>
      <family val="2"/>
      <scheme val="minor"/>
    </font>
    <font>
      <b/>
      <vertAlign val="subscript"/>
      <sz val="12"/>
      <color theme="1"/>
      <name val="Calibri"/>
      <family val="2"/>
      <scheme val="minor"/>
    </font>
    <font>
      <vertAlign val="superscript"/>
      <sz val="12"/>
      <color theme="1"/>
      <name val="Calibri"/>
      <family val="2"/>
      <scheme val="minor"/>
    </font>
    <font>
      <b/>
      <u/>
      <sz val="12"/>
      <color theme="1"/>
      <name val="Calibri"/>
      <family val="2"/>
      <scheme val="minor"/>
    </font>
    <font>
      <b/>
      <sz val="12"/>
      <color theme="8" tint="-0.249977111117893"/>
      <name val="Calibri"/>
      <family val="2"/>
      <scheme val="minor"/>
    </font>
    <font>
      <sz val="12"/>
      <color rgb="FFFF0000"/>
      <name val="Calibri"/>
      <family val="2"/>
      <scheme val="minor"/>
    </font>
    <font>
      <sz val="12"/>
      <color theme="1"/>
      <name val="Calibri"/>
      <family val="2"/>
    </font>
    <font>
      <sz val="12"/>
      <color theme="8" tint="-0.249977111117893"/>
      <name val="Calibri"/>
      <family val="2"/>
      <scheme val="minor"/>
    </font>
    <font>
      <sz val="12"/>
      <color theme="8" tint="-0.499984740745262"/>
      <name val="Calibri"/>
      <family val="2"/>
      <scheme val="minor"/>
    </font>
    <font>
      <b/>
      <i/>
      <sz val="12"/>
      <color theme="8" tint="-0.499984740745262"/>
      <name val="Calibri"/>
      <family val="2"/>
      <scheme val="minor"/>
    </font>
    <font>
      <sz val="12"/>
      <color theme="8" tint="-0.499984740745262"/>
      <name val="Times New Roman"/>
      <family val="1"/>
    </font>
    <font>
      <sz val="11"/>
      <name val="Calibri"/>
      <family val="2"/>
      <scheme val="minor"/>
    </font>
    <font>
      <sz val="14"/>
      <name val="Calibri"/>
      <family val="2"/>
      <scheme val="minor"/>
    </font>
    <font>
      <b/>
      <i/>
      <sz val="12"/>
      <color theme="8" tint="-0.249977111117893"/>
      <name val="Calibri"/>
      <family val="2"/>
      <scheme val="minor"/>
    </font>
    <font>
      <b/>
      <sz val="12"/>
      <color theme="8" tint="-0.499984740745262"/>
      <name val="Calibri"/>
      <family val="2"/>
      <scheme val="minor"/>
    </font>
    <font>
      <b/>
      <u/>
      <sz val="12"/>
      <color theme="8" tint="-0.499984740745262"/>
      <name val="Calibri"/>
      <family val="2"/>
      <scheme val="minor"/>
    </font>
    <font>
      <sz val="12"/>
      <name val="Calibri"/>
      <family val="2"/>
      <scheme val="minor"/>
    </font>
    <font>
      <b/>
      <sz val="12"/>
      <name val="Calibri"/>
      <family val="2"/>
      <scheme val="minor"/>
    </font>
    <font>
      <b/>
      <sz val="16"/>
      <color theme="0"/>
      <name val="Calibri"/>
      <family val="2"/>
      <scheme val="minor"/>
    </font>
    <font>
      <sz val="18"/>
      <name val="Calibri"/>
      <family val="2"/>
      <scheme val="minor"/>
    </font>
    <font>
      <sz val="10"/>
      <name val="Calibri"/>
      <family val="2"/>
      <scheme val="minor"/>
    </font>
    <font>
      <sz val="12"/>
      <color theme="8" tint="-0.499984740745262"/>
      <name val="Calibri"/>
      <family val="2"/>
    </font>
    <font>
      <sz val="8"/>
      <color theme="1"/>
      <name val="Calibri"/>
      <family val="2"/>
      <scheme val="minor"/>
    </font>
    <font>
      <sz val="20"/>
      <name val="Calibri"/>
      <family val="2"/>
      <scheme val="minor"/>
    </font>
    <font>
      <sz val="11"/>
      <color rgb="FFC00000"/>
      <name val="Calibri"/>
      <family val="2"/>
      <scheme val="minor"/>
    </font>
    <font>
      <sz val="9"/>
      <color rgb="FFC00000"/>
      <name val="Calibri"/>
      <family val="2"/>
      <scheme val="minor"/>
    </font>
    <font>
      <sz val="20"/>
      <color rgb="FFFF0000"/>
      <name val="Calibri"/>
      <family val="2"/>
      <scheme val="minor"/>
    </font>
    <font>
      <sz val="14"/>
      <color rgb="FFFF0000"/>
      <name val="Calibri"/>
      <family val="2"/>
      <scheme val="minor"/>
    </font>
    <font>
      <sz val="9"/>
      <color rgb="FFFF0000"/>
      <name val="Calibri"/>
      <family val="2"/>
      <scheme val="minor"/>
    </font>
    <font>
      <sz val="11"/>
      <color theme="1"/>
      <name val="Calibri"/>
      <family val="2"/>
    </font>
    <font>
      <vertAlign val="subscript"/>
      <sz val="11"/>
      <color theme="1"/>
      <name val="Calibri"/>
      <family val="2"/>
    </font>
    <font>
      <vertAlign val="superscript"/>
      <sz val="11"/>
      <color theme="1"/>
      <name val="Calibri"/>
      <family val="2"/>
      <scheme val="minor"/>
    </font>
    <font>
      <u/>
      <sz val="11"/>
      <color theme="1"/>
      <name val="Calibri"/>
      <family val="2"/>
      <scheme val="minor"/>
    </font>
    <font>
      <sz val="11"/>
      <color rgb="FFFF0000"/>
      <name val="Calibri"/>
      <family val="2"/>
    </font>
    <font>
      <sz val="15.4"/>
      <color rgb="FFFF0000"/>
      <name val="Calibri"/>
      <family val="2"/>
    </font>
    <font>
      <sz val="16"/>
      <color rgb="FF000080"/>
      <name val="Calibri"/>
      <family val="2"/>
    </font>
    <font>
      <sz val="11"/>
      <color rgb="FF000000"/>
      <name val="Calibri"/>
      <family val="2"/>
    </font>
  </fonts>
  <fills count="14">
    <fill>
      <patternFill patternType="none"/>
    </fill>
    <fill>
      <patternFill patternType="gray125"/>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249977111117893"/>
        <bgColor indexed="64"/>
      </patternFill>
    </fill>
    <fill>
      <patternFill patternType="solid">
        <fgColor theme="7" tint="0.79995117038483843"/>
        <bgColor indexed="64"/>
      </patternFill>
    </fill>
    <fill>
      <patternFill patternType="solid">
        <fgColor theme="2" tint="-9.9978637043366805E-2"/>
        <bgColor indexed="64"/>
      </patternFill>
    </fill>
    <fill>
      <patternFill patternType="solid">
        <fgColor theme="0"/>
        <bgColor indexed="64"/>
      </patternFill>
    </fill>
    <fill>
      <patternFill patternType="solid">
        <fgColor theme="8"/>
        <bgColor indexed="64"/>
      </patternFill>
    </fill>
    <fill>
      <patternFill patternType="solid">
        <fgColor rgb="FF808080"/>
        <bgColor indexed="64"/>
      </patternFill>
    </fill>
    <fill>
      <patternFill patternType="solid">
        <fgColor theme="7" tint="0.59999389629810485"/>
        <bgColor indexed="64"/>
      </patternFill>
    </fill>
    <fill>
      <patternFill patternType="solid">
        <fgColor rgb="FFFFFFFF"/>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s>
  <cellStyleXfs count="1">
    <xf numFmtId="0" fontId="0" fillId="0" borderId="0"/>
  </cellStyleXfs>
  <cellXfs count="369">
    <xf numFmtId="0" fontId="0" fillId="0" borderId="0" xfId="0"/>
    <xf numFmtId="0" fontId="1" fillId="0" borderId="0" xfId="0" applyFont="1"/>
    <xf numFmtId="0" fontId="0" fillId="0" borderId="4" xfId="0" applyBorder="1"/>
    <xf numFmtId="0" fontId="0" fillId="0" borderId="7" xfId="0" applyBorder="1"/>
    <xf numFmtId="0" fontId="0" fillId="0" borderId="9" xfId="0" applyBorder="1"/>
    <xf numFmtId="3" fontId="0" fillId="0" borderId="0" xfId="0" applyNumberFormat="1"/>
    <xf numFmtId="0" fontId="0" fillId="0" borderId="11" xfId="0" applyBorder="1"/>
    <xf numFmtId="0" fontId="0" fillId="0" borderId="12" xfId="0" applyBorder="1"/>
    <xf numFmtId="0" fontId="3" fillId="0" borderId="0" xfId="0" applyFont="1"/>
    <xf numFmtId="0" fontId="0" fillId="0" borderId="13" xfId="0" applyBorder="1"/>
    <xf numFmtId="0" fontId="0" fillId="0" borderId="14" xfId="0" applyBorder="1"/>
    <xf numFmtId="7" fontId="0" fillId="0" borderId="0" xfId="0" applyNumberFormat="1"/>
    <xf numFmtId="0" fontId="5" fillId="0" borderId="0" xfId="0" applyFont="1"/>
    <xf numFmtId="0" fontId="6" fillId="0" borderId="0" xfId="0" applyFont="1"/>
    <xf numFmtId="0" fontId="8" fillId="0" borderId="0" xfId="0" applyFont="1"/>
    <xf numFmtId="0" fontId="11" fillId="0" borderId="0" xfId="0" applyFont="1"/>
    <xf numFmtId="0" fontId="13" fillId="0" borderId="0" xfId="0" applyFont="1"/>
    <xf numFmtId="0" fontId="0" fillId="4" borderId="0" xfId="0" applyFill="1" applyAlignment="1">
      <alignment horizontal="left" vertical="center"/>
    </xf>
    <xf numFmtId="0" fontId="15" fillId="0" borderId="0" xfId="0" applyFont="1"/>
    <xf numFmtId="0" fontId="15" fillId="0" borderId="2" xfId="0" applyFont="1" applyBorder="1"/>
    <xf numFmtId="0" fontId="15" fillId="0" borderId="4" xfId="0" applyFont="1" applyBorder="1"/>
    <xf numFmtId="0" fontId="15" fillId="0" borderId="8" xfId="0" applyFont="1" applyBorder="1"/>
    <xf numFmtId="7" fontId="15" fillId="2" borderId="9" xfId="0" applyNumberFormat="1" applyFont="1" applyFill="1" applyBorder="1"/>
    <xf numFmtId="0" fontId="17" fillId="0" borderId="0" xfId="0" applyFont="1"/>
    <xf numFmtId="0" fontId="18" fillId="0" borderId="0" xfId="0" applyFont="1"/>
    <xf numFmtId="7" fontId="15" fillId="0" borderId="0" xfId="0" applyNumberFormat="1" applyFont="1"/>
    <xf numFmtId="164" fontId="15" fillId="0" borderId="0" xfId="0" applyNumberFormat="1" applyFont="1"/>
    <xf numFmtId="2" fontId="15" fillId="0" borderId="0" xfId="0" applyNumberFormat="1" applyFont="1"/>
    <xf numFmtId="0" fontId="22" fillId="0" borderId="0" xfId="0" applyFont="1"/>
    <xf numFmtId="0" fontId="15" fillId="0" borderId="10" xfId="0" quotePrefix="1" applyFont="1" applyBorder="1"/>
    <xf numFmtId="0" fontId="15" fillId="0" borderId="12" xfId="0" applyFont="1" applyBorder="1"/>
    <xf numFmtId="0" fontId="15" fillId="0" borderId="2" xfId="0" applyFont="1" applyBorder="1" applyAlignment="1">
      <alignment wrapText="1"/>
    </xf>
    <xf numFmtId="0" fontId="15" fillId="0" borderId="10" xfId="0" applyFont="1" applyBorder="1" applyAlignment="1">
      <alignment wrapText="1"/>
    </xf>
    <xf numFmtId="0" fontId="15" fillId="0" borderId="0" xfId="0" applyFont="1" applyAlignment="1">
      <alignment wrapText="1"/>
    </xf>
    <xf numFmtId="0" fontId="15" fillId="2" borderId="11" xfId="0" applyFont="1" applyFill="1" applyBorder="1"/>
    <xf numFmtId="0" fontId="15" fillId="2" borderId="7" xfId="0" applyFont="1" applyFill="1" applyBorder="1"/>
    <xf numFmtId="0" fontId="29" fillId="0" borderId="0" xfId="0" applyFont="1" applyAlignment="1">
      <alignment horizontal="left" wrapText="1"/>
    </xf>
    <xf numFmtId="0" fontId="27" fillId="0" borderId="0" xfId="0" quotePrefix="1" applyFont="1" applyAlignment="1">
      <alignment horizontal="right" vertical="top" wrapText="1"/>
    </xf>
    <xf numFmtId="0" fontId="0" fillId="4" borderId="8" xfId="0" applyFill="1" applyBorder="1" applyProtection="1">
      <protection locked="0"/>
    </xf>
    <xf numFmtId="2" fontId="0" fillId="4" borderId="8" xfId="0" applyNumberFormat="1" applyFill="1" applyBorder="1" applyProtection="1">
      <protection locked="0"/>
    </xf>
    <xf numFmtId="165" fontId="0" fillId="4" borderId="8" xfId="0" applyNumberFormat="1" applyFill="1" applyBorder="1" applyProtection="1">
      <protection locked="0"/>
    </xf>
    <xf numFmtId="0" fontId="30" fillId="0" borderId="0" xfId="0" applyFont="1"/>
    <xf numFmtId="0" fontId="0" fillId="8" borderId="0" xfId="0" applyFill="1" applyProtection="1">
      <protection locked="0"/>
    </xf>
    <xf numFmtId="0" fontId="31" fillId="0" borderId="0" xfId="0" applyFont="1"/>
    <xf numFmtId="0" fontId="15" fillId="3" borderId="0" xfId="0" applyFont="1" applyFill="1"/>
    <xf numFmtId="0" fontId="15" fillId="0" borderId="6" xfId="0" applyFont="1" applyBorder="1"/>
    <xf numFmtId="7" fontId="15" fillId="2" borderId="3" xfId="0" applyNumberFormat="1" applyFont="1" applyFill="1" applyBorder="1"/>
    <xf numFmtId="7" fontId="15" fillId="2" borderId="7" xfId="0" applyNumberFormat="1" applyFont="1" applyFill="1" applyBorder="1"/>
    <xf numFmtId="7" fontId="15" fillId="2" borderId="5" xfId="0" applyNumberFormat="1" applyFont="1" applyFill="1" applyBorder="1"/>
    <xf numFmtId="0" fontId="30" fillId="8" borderId="0" xfId="0" applyFont="1" applyFill="1"/>
    <xf numFmtId="0" fontId="9" fillId="8" borderId="0" xfId="0" applyFont="1" applyFill="1"/>
    <xf numFmtId="0" fontId="31" fillId="8" borderId="0" xfId="0" applyFont="1" applyFill="1"/>
    <xf numFmtId="0" fontId="13" fillId="8" borderId="0" xfId="0" applyFont="1" applyFill="1"/>
    <xf numFmtId="0" fontId="0" fillId="8" borderId="0" xfId="0" applyFill="1"/>
    <xf numFmtId="0" fontId="8" fillId="8" borderId="0" xfId="0" applyFont="1" applyFill="1"/>
    <xf numFmtId="0" fontId="0" fillId="0" borderId="0" xfId="0" applyAlignment="1">
      <alignment vertical="center"/>
    </xf>
    <xf numFmtId="0" fontId="38" fillId="0" borderId="0" xfId="0" applyFont="1"/>
    <xf numFmtId="0" fontId="35" fillId="0" borderId="0" xfId="0" applyFont="1"/>
    <xf numFmtId="0" fontId="36" fillId="0" borderId="0" xfId="0" applyFont="1"/>
    <xf numFmtId="0" fontId="39" fillId="0" borderId="0" xfId="0" applyFont="1"/>
    <xf numFmtId="0" fontId="38" fillId="8" borderId="0" xfId="0" applyFont="1" applyFill="1"/>
    <xf numFmtId="0" fontId="35" fillId="8" borderId="0" xfId="0" applyFont="1" applyFill="1"/>
    <xf numFmtId="0" fontId="36" fillId="8" borderId="0" xfId="0" applyFont="1" applyFill="1"/>
    <xf numFmtId="0" fontId="39" fillId="8" borderId="0" xfId="0" applyFont="1" applyFill="1"/>
    <xf numFmtId="49" fontId="0" fillId="0" borderId="0" xfId="0" applyNumberFormat="1" applyProtection="1">
      <protection locked="0" hidden="1"/>
    </xf>
    <xf numFmtId="4" fontId="15" fillId="2" borderId="1" xfId="0" applyNumberFormat="1" applyFont="1" applyFill="1" applyBorder="1" applyAlignment="1" applyProtection="1">
      <alignment vertical="center"/>
      <protection hidden="1"/>
    </xf>
    <xf numFmtId="1" fontId="15" fillId="2" borderId="2" xfId="0" applyNumberFormat="1" applyFont="1" applyFill="1" applyBorder="1" applyProtection="1">
      <protection hidden="1"/>
    </xf>
    <xf numFmtId="1" fontId="15" fillId="2" borderId="6" xfId="0" applyNumberFormat="1" applyFont="1" applyFill="1" applyBorder="1" applyProtection="1">
      <protection hidden="1"/>
    </xf>
    <xf numFmtId="3" fontId="15" fillId="2" borderId="14" xfId="0" applyNumberFormat="1" applyFont="1" applyFill="1" applyBorder="1" applyProtection="1">
      <protection hidden="1"/>
    </xf>
    <xf numFmtId="3" fontId="15" fillId="2" borderId="1" xfId="0" applyNumberFormat="1" applyFont="1" applyFill="1" applyBorder="1" applyAlignment="1" applyProtection="1">
      <alignment vertical="center"/>
      <protection hidden="1"/>
    </xf>
    <xf numFmtId="0" fontId="15" fillId="2" borderId="10" xfId="0" applyFont="1" applyFill="1" applyBorder="1" applyProtection="1">
      <protection hidden="1"/>
    </xf>
    <xf numFmtId="1" fontId="15" fillId="2" borderId="0" xfId="0" applyNumberFormat="1" applyFont="1" applyFill="1" applyAlignment="1" applyProtection="1">
      <alignment vertical="center"/>
      <protection hidden="1"/>
    </xf>
    <xf numFmtId="0" fontId="0" fillId="2" borderId="11" xfId="0" applyFill="1" applyBorder="1" applyProtection="1">
      <protection hidden="1"/>
    </xf>
    <xf numFmtId="0" fontId="7" fillId="8" borderId="0" xfId="0" applyFont="1" applyFill="1"/>
    <xf numFmtId="0" fontId="0" fillId="3" borderId="1" xfId="0" applyFill="1" applyBorder="1" applyProtection="1">
      <protection locked="0"/>
    </xf>
    <xf numFmtId="3" fontId="41" fillId="8" borderId="0" xfId="0" applyNumberFormat="1" applyFont="1" applyFill="1" applyAlignment="1">
      <alignment wrapText="1"/>
    </xf>
    <xf numFmtId="0" fontId="0" fillId="0" borderId="1" xfId="0" applyBorder="1"/>
    <xf numFmtId="0" fontId="0" fillId="2" borderId="8" xfId="0" applyFill="1" applyBorder="1"/>
    <xf numFmtId="0" fontId="0" fillId="0" borderId="0" xfId="0" applyProtection="1">
      <protection hidden="1"/>
    </xf>
    <xf numFmtId="3" fontId="0" fillId="4" borderId="8" xfId="0" applyNumberFormat="1" applyFill="1" applyBorder="1" applyAlignment="1" applyProtection="1">
      <alignment vertical="center"/>
      <protection locked="0"/>
    </xf>
    <xf numFmtId="0" fontId="0" fillId="8" borderId="9" xfId="0" applyFill="1" applyBorder="1" applyAlignment="1" applyProtection="1">
      <alignment vertical="center"/>
      <protection locked="0" hidden="1"/>
    </xf>
    <xf numFmtId="0" fontId="0" fillId="6" borderId="8" xfId="0" applyFill="1" applyBorder="1" applyAlignment="1" applyProtection="1">
      <alignment vertical="center"/>
      <protection locked="0"/>
    </xf>
    <xf numFmtId="49" fontId="0" fillId="0" borderId="9" xfId="0" applyNumberFormat="1" applyBorder="1" applyAlignment="1" applyProtection="1">
      <alignment vertical="center"/>
      <protection locked="0" hidden="1"/>
    </xf>
    <xf numFmtId="0" fontId="0" fillId="0" borderId="9" xfId="0" applyBorder="1" applyAlignment="1" applyProtection="1">
      <alignment vertical="center"/>
      <protection locked="0" hidden="1"/>
    </xf>
    <xf numFmtId="4" fontId="15" fillId="2" borderId="1" xfId="0" applyNumberFormat="1" applyFont="1" applyFill="1" applyBorder="1" applyAlignment="1" applyProtection="1">
      <alignment horizontal="right" vertical="center"/>
      <protection hidden="1"/>
    </xf>
    <xf numFmtId="0" fontId="15" fillId="2" borderId="1" xfId="0" applyFont="1" applyFill="1" applyBorder="1" applyAlignment="1" applyProtection="1">
      <alignment vertical="center"/>
      <protection hidden="1"/>
    </xf>
    <xf numFmtId="2" fontId="15" fillId="2" borderId="1" xfId="0" applyNumberFormat="1" applyFont="1" applyFill="1" applyBorder="1" applyAlignment="1" applyProtection="1">
      <alignment vertical="center"/>
      <protection hidden="1"/>
    </xf>
    <xf numFmtId="1" fontId="15" fillId="2" borderId="1" xfId="0" applyNumberFormat="1" applyFont="1" applyFill="1" applyBorder="1" applyAlignment="1" applyProtection="1">
      <alignment vertical="center"/>
      <protection hidden="1"/>
    </xf>
    <xf numFmtId="0" fontId="0" fillId="8" borderId="4" xfId="0" applyFill="1" applyBorder="1"/>
    <xf numFmtId="0" fontId="43" fillId="0" borderId="0" xfId="0" applyFont="1"/>
    <xf numFmtId="0" fontId="5" fillId="7" borderId="1" xfId="0" applyFont="1" applyFill="1" applyBorder="1"/>
    <xf numFmtId="0" fontId="0" fillId="0" borderId="1" xfId="0" applyBorder="1" applyAlignment="1" applyProtection="1">
      <alignment vertical="top"/>
      <protection hidden="1"/>
    </xf>
    <xf numFmtId="0" fontId="0" fillId="0" borderId="1" xfId="0" applyBorder="1" applyAlignment="1" applyProtection="1">
      <alignment horizontal="left" vertical="top"/>
      <protection hidden="1"/>
    </xf>
    <xf numFmtId="0" fontId="0" fillId="0" borderId="1" xfId="0" applyBorder="1" applyAlignment="1" applyProtection="1">
      <alignment vertical="top" wrapText="1"/>
      <protection hidden="1"/>
    </xf>
    <xf numFmtId="0" fontId="42" fillId="8" borderId="0" xfId="0" applyFont="1" applyFill="1"/>
    <xf numFmtId="0" fontId="14" fillId="8" borderId="0" xfId="0" applyFont="1" applyFill="1" applyProtection="1">
      <protection hidden="1"/>
    </xf>
    <xf numFmtId="0" fontId="3" fillId="8" borderId="0" xfId="0" applyFont="1" applyFill="1" applyProtection="1">
      <protection hidden="1"/>
    </xf>
    <xf numFmtId="0" fontId="0" fillId="8" borderId="0" xfId="0" applyFill="1" applyProtection="1">
      <protection hidden="1"/>
    </xf>
    <xf numFmtId="0" fontId="0" fillId="0" borderId="0" xfId="0" applyAlignment="1" applyProtection="1">
      <alignment wrapText="1"/>
      <protection hidden="1"/>
    </xf>
    <xf numFmtId="0" fontId="2" fillId="5" borderId="1" xfId="0" applyFont="1" applyFill="1" applyBorder="1" applyAlignment="1" applyProtection="1">
      <alignment horizontal="left" wrapText="1"/>
      <protection hidden="1"/>
    </xf>
    <xf numFmtId="0" fontId="5" fillId="0" borderId="0" xfId="0" applyFont="1" applyAlignment="1" applyProtection="1">
      <alignment horizontal="left" wrapText="1"/>
      <protection hidden="1"/>
    </xf>
    <xf numFmtId="0" fontId="15" fillId="0" borderId="1" xfId="0" applyFont="1" applyBorder="1" applyAlignment="1" applyProtection="1">
      <alignment wrapText="1"/>
      <protection hidden="1"/>
    </xf>
    <xf numFmtId="0" fontId="15" fillId="0" borderId="0" xfId="0" applyFont="1" applyProtection="1">
      <protection hidden="1"/>
    </xf>
    <xf numFmtId="0" fontId="24" fillId="8" borderId="0" xfId="0" applyFont="1" applyFill="1" applyProtection="1">
      <protection hidden="1"/>
    </xf>
    <xf numFmtId="0" fontId="16" fillId="8" borderId="0" xfId="0" applyFont="1" applyFill="1" applyProtection="1">
      <protection hidden="1"/>
    </xf>
    <xf numFmtId="0" fontId="15" fillId="8" borderId="0" xfId="0" applyFont="1" applyFill="1" applyProtection="1">
      <protection hidden="1"/>
    </xf>
    <xf numFmtId="0" fontId="15" fillId="0" borderId="1" xfId="0" applyFont="1" applyBorder="1" applyAlignment="1" applyProtection="1">
      <alignment vertical="center" wrapText="1"/>
      <protection hidden="1"/>
    </xf>
    <xf numFmtId="0" fontId="15" fillId="0" borderId="15" xfId="0" applyFont="1" applyBorder="1" applyAlignment="1" applyProtection="1">
      <alignment vertical="center" wrapText="1"/>
      <protection hidden="1"/>
    </xf>
    <xf numFmtId="0" fontId="15" fillId="0" borderId="8" xfId="0" applyFont="1" applyBorder="1" applyAlignment="1" applyProtection="1">
      <alignment vertical="center" wrapText="1"/>
      <protection hidden="1"/>
    </xf>
    <xf numFmtId="0" fontId="15" fillId="0" borderId="0" xfId="0" applyFont="1" applyAlignment="1" applyProtection="1">
      <alignment wrapText="1"/>
      <protection hidden="1"/>
    </xf>
    <xf numFmtId="0" fontId="23" fillId="0" borderId="0" xfId="0" applyFont="1" applyAlignment="1" applyProtection="1">
      <alignment wrapText="1"/>
      <protection hidden="1"/>
    </xf>
    <xf numFmtId="2" fontId="15" fillId="0" borderId="0" xfId="0" applyNumberFormat="1" applyFont="1" applyProtection="1">
      <protection hidden="1"/>
    </xf>
    <xf numFmtId="0" fontId="15" fillId="2" borderId="0" xfId="0" applyFont="1" applyFill="1" applyProtection="1">
      <protection hidden="1"/>
    </xf>
    <xf numFmtId="0" fontId="2" fillId="5" borderId="15" xfId="0" applyFont="1" applyFill="1" applyBorder="1" applyAlignment="1" applyProtection="1">
      <alignment horizontal="left" wrapText="1"/>
      <protection hidden="1"/>
    </xf>
    <xf numFmtId="0" fontId="15" fillId="0" borderId="15" xfId="0" applyFont="1" applyBorder="1" applyAlignment="1" applyProtection="1">
      <alignment wrapText="1"/>
      <protection hidden="1"/>
    </xf>
    <xf numFmtId="0" fontId="15" fillId="0" borderId="2" xfId="0" applyFont="1" applyBorder="1" applyAlignment="1" applyProtection="1">
      <alignment wrapText="1"/>
      <protection hidden="1"/>
    </xf>
    <xf numFmtId="0" fontId="15" fillId="0" borderId="13" xfId="0" applyFont="1" applyBorder="1" applyAlignment="1" applyProtection="1">
      <alignment wrapText="1"/>
      <protection hidden="1"/>
    </xf>
    <xf numFmtId="0" fontId="15" fillId="0" borderId="6" xfId="0" applyFont="1" applyBorder="1" applyAlignment="1" applyProtection="1">
      <alignment wrapText="1"/>
      <protection hidden="1"/>
    </xf>
    <xf numFmtId="0" fontId="15" fillId="2" borderId="6" xfId="0" applyFont="1" applyFill="1" applyBorder="1" applyProtection="1">
      <protection hidden="1"/>
    </xf>
    <xf numFmtId="0" fontId="16" fillId="2" borderId="11" xfId="0" applyFont="1" applyFill="1" applyBorder="1" applyProtection="1">
      <protection hidden="1"/>
    </xf>
    <xf numFmtId="0" fontId="16" fillId="2" borderId="7" xfId="0" applyFont="1" applyFill="1" applyBorder="1" applyProtection="1">
      <protection hidden="1"/>
    </xf>
    <xf numFmtId="0" fontId="15" fillId="0" borderId="7" xfId="0" applyFont="1" applyBorder="1" applyAlignment="1" applyProtection="1">
      <alignment wrapText="1"/>
      <protection hidden="1"/>
    </xf>
    <xf numFmtId="0" fontId="15" fillId="0" borderId="14" xfId="0" applyFont="1" applyBorder="1" applyAlignment="1" applyProtection="1">
      <alignment wrapText="1"/>
      <protection hidden="1"/>
    </xf>
    <xf numFmtId="0" fontId="15" fillId="0" borderId="9" xfId="0" applyFont="1" applyBorder="1" applyAlignment="1" applyProtection="1">
      <alignment wrapText="1"/>
      <protection hidden="1"/>
    </xf>
    <xf numFmtId="0" fontId="15" fillId="0" borderId="14" xfId="0" applyFont="1" applyBorder="1" applyAlignment="1" applyProtection="1">
      <alignment vertical="top" wrapText="1"/>
      <protection hidden="1"/>
    </xf>
    <xf numFmtId="3" fontId="15" fillId="0" borderId="0" xfId="0" applyNumberFormat="1" applyFont="1" applyProtection="1">
      <protection hidden="1"/>
    </xf>
    <xf numFmtId="0" fontId="2" fillId="0" borderId="0" xfId="0" applyFont="1" applyAlignment="1" applyProtection="1">
      <alignment horizontal="left" wrapText="1"/>
      <protection hidden="1"/>
    </xf>
    <xf numFmtId="0" fontId="23" fillId="0" borderId="15" xfId="0" applyFont="1" applyBorder="1" applyAlignment="1" applyProtection="1">
      <alignment wrapText="1"/>
      <protection hidden="1"/>
    </xf>
    <xf numFmtId="0" fontId="15" fillId="0" borderId="13" xfId="0" applyFont="1" applyBorder="1" applyAlignment="1" applyProtection="1">
      <alignment vertical="top" wrapText="1"/>
      <protection hidden="1"/>
    </xf>
    <xf numFmtId="0" fontId="15" fillId="0" borderId="13" xfId="0" applyFont="1" applyBorder="1" applyAlignment="1" applyProtection="1">
      <alignment vertical="center" wrapText="1"/>
      <protection hidden="1"/>
    </xf>
    <xf numFmtId="0" fontId="0" fillId="0" borderId="14" xfId="0" applyBorder="1" applyAlignment="1" applyProtection="1">
      <alignment wrapText="1"/>
      <protection hidden="1"/>
    </xf>
    <xf numFmtId="0" fontId="15" fillId="0" borderId="0" xfId="0" applyFont="1" applyAlignment="1" applyProtection="1">
      <alignment vertical="center" wrapText="1"/>
      <protection hidden="1"/>
    </xf>
    <xf numFmtId="0" fontId="45" fillId="8" borderId="0" xfId="0" applyFont="1" applyFill="1"/>
    <xf numFmtId="0" fontId="14" fillId="0" borderId="0" xfId="0" applyFont="1"/>
    <xf numFmtId="0" fontId="14" fillId="8" borderId="0" xfId="0" applyFont="1" applyFill="1"/>
    <xf numFmtId="0" fontId="46" fillId="8" borderId="0" xfId="0" applyFont="1" applyFill="1"/>
    <xf numFmtId="0" fontId="14" fillId="0" borderId="5" xfId="0" applyFont="1" applyBorder="1"/>
    <xf numFmtId="0" fontId="47" fillId="0" borderId="5" xfId="0" applyFont="1" applyBorder="1" applyAlignment="1">
      <alignment vertical="top" wrapText="1"/>
    </xf>
    <xf numFmtId="0" fontId="14" fillId="0" borderId="0" xfId="0" applyFont="1" applyAlignment="1">
      <alignment horizontal="left"/>
    </xf>
    <xf numFmtId="0" fontId="14" fillId="0" borderId="11" xfId="0" applyFont="1" applyBorder="1"/>
    <xf numFmtId="0" fontId="14" fillId="0" borderId="7" xfId="0" applyFont="1" applyBorder="1"/>
    <xf numFmtId="0" fontId="24" fillId="8" borderId="0" xfId="0" applyFont="1" applyFill="1"/>
    <xf numFmtId="2" fontId="15" fillId="0" borderId="0" xfId="0" applyNumberFormat="1" applyFont="1" applyAlignment="1" applyProtection="1">
      <alignment vertical="center"/>
      <protection hidden="1"/>
    </xf>
    <xf numFmtId="166" fontId="15" fillId="2" borderId="10" xfId="0" applyNumberFormat="1" applyFont="1" applyFill="1" applyBorder="1" applyProtection="1">
      <protection hidden="1"/>
    </xf>
    <xf numFmtId="166" fontId="15" fillId="2" borderId="0" xfId="0" applyNumberFormat="1" applyFont="1" applyFill="1" applyProtection="1">
      <protection hidden="1"/>
    </xf>
    <xf numFmtId="166" fontId="15" fillId="2" borderId="11" xfId="0" applyNumberFormat="1" applyFont="1" applyFill="1" applyBorder="1" applyProtection="1">
      <protection hidden="1"/>
    </xf>
    <xf numFmtId="166" fontId="15" fillId="2" borderId="12" xfId="0" applyNumberFormat="1" applyFont="1" applyFill="1" applyBorder="1" applyProtection="1">
      <protection hidden="1"/>
    </xf>
    <xf numFmtId="0" fontId="15" fillId="2" borderId="11" xfId="0" applyFont="1" applyFill="1" applyBorder="1" applyAlignment="1" applyProtection="1">
      <alignment vertical="center"/>
      <protection hidden="1"/>
    </xf>
    <xf numFmtId="0" fontId="15" fillId="2" borderId="10" xfId="0" applyFont="1" applyFill="1" applyBorder="1" applyAlignment="1" applyProtection="1">
      <alignment vertical="center"/>
      <protection hidden="1"/>
    </xf>
    <xf numFmtId="4" fontId="15" fillId="2" borderId="0" xfId="0" applyNumberFormat="1" applyFont="1" applyFill="1" applyAlignment="1" applyProtection="1">
      <alignment vertical="center"/>
      <protection hidden="1"/>
    </xf>
    <xf numFmtId="0" fontId="15" fillId="2" borderId="15" xfId="0" applyFont="1" applyFill="1" applyBorder="1" applyAlignment="1" applyProtection="1">
      <alignment vertical="center"/>
      <protection hidden="1"/>
    </xf>
    <xf numFmtId="0" fontId="15" fillId="2" borderId="14" xfId="0" applyFont="1" applyFill="1" applyBorder="1" applyAlignment="1" applyProtection="1">
      <alignment vertical="center"/>
      <protection hidden="1"/>
    </xf>
    <xf numFmtId="0" fontId="15" fillId="2" borderId="13" xfId="0" applyFont="1" applyFill="1" applyBorder="1" applyAlignment="1" applyProtection="1">
      <alignment vertical="center"/>
      <protection hidden="1"/>
    </xf>
    <xf numFmtId="0" fontId="0" fillId="2" borderId="14" xfId="0" applyFill="1" applyBorder="1" applyProtection="1">
      <protection hidden="1"/>
    </xf>
    <xf numFmtId="0" fontId="15" fillId="2" borderId="15" xfId="0" applyFont="1" applyFill="1" applyBorder="1" applyProtection="1">
      <protection hidden="1"/>
    </xf>
    <xf numFmtId="0" fontId="15" fillId="0" borderId="1" xfId="0" quotePrefix="1" applyFont="1" applyBorder="1" applyAlignment="1" applyProtection="1">
      <alignment vertical="center" wrapText="1"/>
      <protection hidden="1"/>
    </xf>
    <xf numFmtId="167" fontId="15" fillId="2" borderId="9" xfId="0" applyNumberFormat="1" applyFont="1" applyFill="1" applyBorder="1" applyAlignment="1" applyProtection="1">
      <alignment vertical="center" wrapText="1"/>
      <protection hidden="1"/>
    </xf>
    <xf numFmtId="0" fontId="0" fillId="4" borderId="8" xfId="0" applyFill="1" applyBorder="1" applyAlignment="1" applyProtection="1">
      <alignment vertical="center"/>
      <protection locked="0"/>
    </xf>
    <xf numFmtId="0" fontId="0" fillId="0" borderId="9" xfId="0" applyBorder="1" applyAlignment="1">
      <alignment vertical="center"/>
    </xf>
    <xf numFmtId="165" fontId="0" fillId="6" borderId="8" xfId="0" applyNumberFormat="1" applyFill="1" applyBorder="1" applyProtection="1">
      <protection locked="0"/>
    </xf>
    <xf numFmtId="165" fontId="15" fillId="2" borderId="3" xfId="0" applyNumberFormat="1" applyFont="1" applyFill="1" applyBorder="1" applyProtection="1">
      <protection hidden="1"/>
    </xf>
    <xf numFmtId="0" fontId="15" fillId="2" borderId="7" xfId="0" applyFont="1" applyFill="1" applyBorder="1" applyProtection="1">
      <protection hidden="1"/>
    </xf>
    <xf numFmtId="0" fontId="0" fillId="0" borderId="0" xfId="0" applyAlignment="1" applyProtection="1">
      <alignment vertical="center" wrapText="1"/>
      <protection locked="0"/>
    </xf>
    <xf numFmtId="0" fontId="0" fillId="2" borderId="1" xfId="0" applyFill="1" applyBorder="1"/>
    <xf numFmtId="0" fontId="0" fillId="0" borderId="15"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6" xfId="0" applyBorder="1" applyAlignment="1">
      <alignment horizontal="left"/>
    </xf>
    <xf numFmtId="0" fontId="51" fillId="2" borderId="2" xfId="0" applyFont="1" applyFill="1" applyBorder="1"/>
    <xf numFmtId="0" fontId="0" fillId="2" borderId="10" xfId="0" applyFill="1" applyBorder="1"/>
    <xf numFmtId="0" fontId="0" fillId="2" borderId="3" xfId="0" applyFill="1" applyBorder="1"/>
    <xf numFmtId="0" fontId="0" fillId="2" borderId="5" xfId="0" applyFill="1" applyBorder="1" applyAlignment="1">
      <alignment horizontal="left" vertical="center"/>
    </xf>
    <xf numFmtId="49" fontId="0" fillId="6" borderId="3" xfId="0" applyNumberFormat="1" applyFill="1" applyBorder="1" applyAlignment="1" applyProtection="1">
      <alignment horizontal="left" vertical="center"/>
      <protection locked="0" hidden="1"/>
    </xf>
    <xf numFmtId="4" fontId="0" fillId="6" borderId="0" xfId="0" applyNumberFormat="1" applyFill="1" applyAlignment="1" applyProtection="1">
      <alignment vertical="top" wrapText="1"/>
      <protection locked="0"/>
    </xf>
    <xf numFmtId="0" fontId="0" fillId="6" borderId="0" xfId="0" applyFill="1" applyAlignment="1" applyProtection="1">
      <alignment vertical="center"/>
      <protection locked="0"/>
    </xf>
    <xf numFmtId="2" fontId="0" fillId="6" borderId="6" xfId="0" applyNumberFormat="1" applyFill="1" applyBorder="1" applyProtection="1">
      <protection locked="0"/>
    </xf>
    <xf numFmtId="0" fontId="0" fillId="0" borderId="1" xfId="0" applyBorder="1" applyAlignment="1" applyProtection="1">
      <alignment horizontal="center" vertical="top" wrapText="1"/>
      <protection hidden="1"/>
    </xf>
    <xf numFmtId="0" fontId="0" fillId="0" borderId="0" xfId="0" applyAlignment="1">
      <alignment wrapText="1"/>
    </xf>
    <xf numFmtId="0" fontId="47" fillId="0" borderId="0" xfId="0" applyFont="1" applyAlignment="1">
      <alignment vertical="top" wrapText="1"/>
    </xf>
    <xf numFmtId="0" fontId="5" fillId="7" borderId="1" xfId="0" applyFont="1" applyFill="1" applyBorder="1" applyAlignment="1">
      <alignment horizontal="center"/>
    </xf>
    <xf numFmtId="0" fontId="6" fillId="0" borderId="5" xfId="0" applyFont="1" applyBorder="1" applyAlignment="1">
      <alignment horizontal="center" wrapText="1"/>
    </xf>
    <xf numFmtId="0" fontId="6" fillId="0" borderId="5" xfId="0" applyFont="1" applyBorder="1"/>
    <xf numFmtId="49" fontId="0" fillId="6" borderId="2" xfId="0" applyNumberFormat="1" applyFill="1" applyBorder="1" applyAlignment="1" applyProtection="1">
      <alignment vertical="center"/>
      <protection locked="0" hidden="1"/>
    </xf>
    <xf numFmtId="49" fontId="0" fillId="6" borderId="10" xfId="0" applyNumberFormat="1" applyFill="1" applyBorder="1" applyAlignment="1" applyProtection="1">
      <alignment vertical="center"/>
      <protection locked="0" hidden="1"/>
    </xf>
    <xf numFmtId="0" fontId="0" fillId="0" borderId="1" xfId="0" applyBorder="1" applyAlignment="1" applyProtection="1">
      <alignment horizontal="center" vertical="top" wrapText="1"/>
      <protection locked="0" hidden="1"/>
    </xf>
    <xf numFmtId="3" fontId="0" fillId="0" borderId="8" xfId="0" quotePrefix="1" applyNumberFormat="1" applyBorder="1" applyAlignment="1" applyProtection="1">
      <alignment horizontal="center" vertical="top" wrapText="1"/>
      <protection locked="0" hidden="1"/>
    </xf>
    <xf numFmtId="0" fontId="5" fillId="0" borderId="0" xfId="0" applyFont="1" applyAlignment="1">
      <alignment wrapText="1"/>
    </xf>
    <xf numFmtId="0" fontId="6" fillId="0" borderId="0" xfId="0" applyFont="1" applyAlignment="1">
      <alignment vertical="top"/>
    </xf>
    <xf numFmtId="0" fontId="6" fillId="0" borderId="0" xfId="0" applyFont="1" applyAlignment="1">
      <alignment vertical="top" wrapText="1"/>
    </xf>
    <xf numFmtId="0" fontId="5" fillId="7" borderId="1" xfId="0" applyFont="1" applyFill="1" applyBorder="1" applyAlignment="1">
      <alignment horizontal="left" vertical="top" wrapText="1"/>
    </xf>
    <xf numFmtId="0" fontId="6" fillId="7" borderId="1" xfId="0" applyFont="1" applyFill="1" applyBorder="1" applyAlignment="1">
      <alignment horizontal="left" vertical="top"/>
    </xf>
    <xf numFmtId="0" fontId="6" fillId="7" borderId="1" xfId="0" applyFont="1" applyFill="1" applyBorder="1" applyAlignment="1">
      <alignment horizontal="left" vertical="top" wrapText="1"/>
    </xf>
    <xf numFmtId="0" fontId="14" fillId="8" borderId="0" xfId="0" applyFont="1" applyFill="1" applyProtection="1">
      <protection locked="0"/>
    </xf>
    <xf numFmtId="0" fontId="14" fillId="8" borderId="0" xfId="0" applyFont="1" applyFill="1" applyProtection="1">
      <protection locked="0" hidden="1"/>
    </xf>
    <xf numFmtId="0" fontId="14" fillId="8" borderId="0" xfId="0" quotePrefix="1" applyFont="1" applyFill="1"/>
    <xf numFmtId="2" fontId="14" fillId="8" borderId="0" xfId="0" applyNumberFormat="1" applyFont="1" applyFill="1"/>
    <xf numFmtId="0" fontId="24" fillId="8" borderId="0" xfId="0" quotePrefix="1" applyFont="1" applyFill="1"/>
    <xf numFmtId="0" fontId="46" fillId="8" borderId="0" xfId="0" applyFont="1" applyFill="1" applyProtection="1">
      <protection locked="0"/>
    </xf>
    <xf numFmtId="0" fontId="5" fillId="11" borderId="0" xfId="0" applyFont="1" applyFill="1"/>
    <xf numFmtId="0" fontId="6" fillId="11" borderId="0" xfId="0" applyFont="1" applyFill="1"/>
    <xf numFmtId="0" fontId="14" fillId="11" borderId="0" xfId="0" applyFont="1" applyFill="1"/>
    <xf numFmtId="0" fontId="0" fillId="11" borderId="0" xfId="0" applyFill="1"/>
    <xf numFmtId="0" fontId="10" fillId="0" borderId="0" xfId="0" applyFont="1"/>
    <xf numFmtId="0" fontId="7" fillId="0" borderId="0" xfId="0" applyFont="1"/>
    <xf numFmtId="2" fontId="0" fillId="0" borderId="1" xfId="0" applyNumberFormat="1" applyBorder="1" applyAlignment="1" applyProtection="1">
      <alignment horizontal="center" vertical="top" wrapText="1"/>
      <protection locked="0" hidden="1"/>
    </xf>
    <xf numFmtId="164" fontId="35" fillId="8" borderId="0" xfId="0" applyNumberFormat="1" applyFont="1" applyFill="1"/>
    <xf numFmtId="0" fontId="35" fillId="8" borderId="0" xfId="0" applyFont="1" applyFill="1" applyAlignment="1">
      <alignment horizontal="right"/>
    </xf>
    <xf numFmtId="11" fontId="35" fillId="8" borderId="0" xfId="0" applyNumberFormat="1" applyFont="1" applyFill="1"/>
    <xf numFmtId="2" fontId="36" fillId="8" borderId="0" xfId="0" applyNumberFormat="1" applyFont="1" applyFill="1"/>
    <xf numFmtId="2" fontId="0" fillId="4" borderId="8" xfId="0" applyNumberFormat="1" applyFill="1" applyBorder="1" applyAlignment="1" applyProtection="1">
      <alignment vertical="center"/>
      <protection locked="0"/>
    </xf>
    <xf numFmtId="2" fontId="24" fillId="8" borderId="0" xfId="0" applyNumberFormat="1" applyFont="1" applyFill="1" applyProtection="1">
      <protection hidden="1"/>
    </xf>
    <xf numFmtId="0" fontId="24" fillId="0" borderId="0" xfId="0" applyFont="1" applyAlignment="1" applyProtection="1">
      <alignment wrapText="1"/>
      <protection hidden="1"/>
    </xf>
    <xf numFmtId="3" fontId="15" fillId="2" borderId="11" xfId="0" applyNumberFormat="1" applyFont="1" applyFill="1" applyBorder="1" applyProtection="1">
      <protection hidden="1"/>
    </xf>
    <xf numFmtId="2" fontId="15" fillId="2" borderId="1" xfId="0" applyNumberFormat="1" applyFont="1" applyFill="1" applyBorder="1" applyAlignment="1" applyProtection="1">
      <alignment vertical="center" wrapText="1"/>
      <protection hidden="1"/>
    </xf>
    <xf numFmtId="0" fontId="5" fillId="11" borderId="0" xfId="0" applyFont="1" applyFill="1" applyAlignment="1">
      <alignment horizontal="left"/>
    </xf>
    <xf numFmtId="0" fontId="15" fillId="0" borderId="1" xfId="0" applyFont="1" applyBorder="1" applyProtection="1">
      <protection hidden="1"/>
    </xf>
    <xf numFmtId="0" fontId="14" fillId="0" borderId="12" xfId="0" applyFont="1" applyBorder="1"/>
    <xf numFmtId="0" fontId="0" fillId="0" borderId="1" xfId="0" applyBorder="1" applyAlignment="1" applyProtection="1">
      <alignment horizontal="center" vertical="top" wrapText="1"/>
      <protection locked="0"/>
    </xf>
    <xf numFmtId="0" fontId="0" fillId="0" borderId="1" xfId="0" applyBorder="1" applyAlignment="1">
      <alignment horizontal="center" vertical="top"/>
    </xf>
    <xf numFmtId="0" fontId="0" fillId="0" borderId="1" xfId="0" applyBorder="1" applyAlignment="1">
      <alignment horizontal="left" vertical="top"/>
    </xf>
    <xf numFmtId="168" fontId="0" fillId="8" borderId="8" xfId="0" applyNumberFormat="1" applyFill="1" applyBorder="1" applyAlignment="1" applyProtection="1">
      <alignment horizontal="center" vertical="top" wrapText="1"/>
      <protection hidden="1"/>
    </xf>
    <xf numFmtId="167" fontId="15" fillId="2" borderId="1" xfId="0" applyNumberFormat="1" applyFont="1" applyFill="1" applyBorder="1" applyProtection="1">
      <protection hidden="1"/>
    </xf>
    <xf numFmtId="0" fontId="15" fillId="0" borderId="1" xfId="0" applyFont="1" applyBorder="1" applyAlignment="1" applyProtection="1">
      <alignment vertical="top" wrapText="1"/>
      <protection hidden="1"/>
    </xf>
    <xf numFmtId="167" fontId="15" fillId="2" borderId="0" xfId="0" applyNumberFormat="1" applyFont="1" applyFill="1" applyAlignment="1" applyProtection="1">
      <alignment vertical="center"/>
      <protection hidden="1"/>
    </xf>
    <xf numFmtId="0" fontId="0" fillId="12" borderId="1" xfId="0" applyFill="1" applyBorder="1" applyAlignment="1" applyProtection="1">
      <alignment horizontal="center" vertical="center"/>
      <protection locked="0"/>
    </xf>
    <xf numFmtId="0" fontId="14" fillId="0" borderId="0" xfId="0" applyFont="1" applyBorder="1"/>
    <xf numFmtId="0" fontId="0" fillId="0" borderId="0" xfId="0" applyBorder="1"/>
    <xf numFmtId="0" fontId="0" fillId="0" borderId="0" xfId="0" applyFill="1" applyBorder="1"/>
    <xf numFmtId="0" fontId="0" fillId="2" borderId="0" xfId="0" applyFill="1" applyBorder="1" applyAlignment="1">
      <alignment horizontal="right" vertical="center"/>
    </xf>
    <xf numFmtId="0" fontId="0" fillId="2" borderId="11" xfId="0" applyFill="1" applyBorder="1" applyAlignment="1">
      <alignment horizontal="right" vertical="center"/>
    </xf>
    <xf numFmtId="0" fontId="0" fillId="2" borderId="7" xfId="0" applyFill="1" applyBorder="1" applyAlignment="1">
      <alignment horizontal="left" vertical="center"/>
    </xf>
    <xf numFmtId="0" fontId="0" fillId="0" borderId="0" xfId="0" applyBorder="1" applyAlignment="1">
      <alignment horizontal="left" vertical="center"/>
    </xf>
    <xf numFmtId="0" fontId="0" fillId="8" borderId="0" xfId="0" applyFill="1" applyBorder="1" applyAlignment="1" applyProtection="1">
      <alignment vertical="center"/>
      <protection locked="0"/>
    </xf>
    <xf numFmtId="0" fontId="0" fillId="13" borderId="1" xfId="0" applyFill="1" applyBorder="1" applyAlignment="1">
      <alignment horizontal="left"/>
    </xf>
    <xf numFmtId="169" fontId="15" fillId="2" borderId="1" xfId="0" applyNumberFormat="1" applyFont="1" applyFill="1" applyBorder="1" applyAlignment="1" applyProtection="1">
      <alignment vertical="center"/>
      <protection hidden="1"/>
    </xf>
    <xf numFmtId="0" fontId="0" fillId="0" borderId="6" xfId="0" applyBorder="1"/>
    <xf numFmtId="0" fontId="0" fillId="0" borderId="4" xfId="0" applyFill="1" applyBorder="1"/>
    <xf numFmtId="0" fontId="6" fillId="10" borderId="14" xfId="0" applyFont="1" applyFill="1" applyBorder="1" applyAlignment="1" applyProtection="1">
      <alignment horizontal="center" wrapText="1"/>
      <protection locked="0"/>
    </xf>
    <xf numFmtId="0" fontId="6" fillId="10" borderId="14" xfId="0" applyFont="1" applyFill="1" applyBorder="1" applyAlignment="1" applyProtection="1">
      <alignment horizontal="center"/>
      <protection locked="0"/>
    </xf>
    <xf numFmtId="0" fontId="6" fillId="10" borderId="1" xfId="0" applyFont="1" applyFill="1" applyBorder="1" applyProtection="1">
      <protection locked="0"/>
    </xf>
    <xf numFmtId="0" fontId="6" fillId="10" borderId="1" xfId="0" applyFont="1" applyFill="1" applyBorder="1" applyAlignment="1" applyProtection="1">
      <alignment vertical="top"/>
      <protection locked="0"/>
    </xf>
    <xf numFmtId="3" fontId="6" fillId="10" borderId="1" xfId="0" applyNumberFormat="1" applyFont="1" applyFill="1" applyBorder="1" applyProtection="1">
      <protection locked="0"/>
    </xf>
    <xf numFmtId="0" fontId="6" fillId="10" borderId="1" xfId="0" applyFont="1" applyFill="1" applyBorder="1" applyAlignment="1" applyProtection="1">
      <alignment vertical="center"/>
      <protection locked="0"/>
    </xf>
    <xf numFmtId="0" fontId="27" fillId="0" borderId="0" xfId="0" applyFont="1" applyAlignment="1">
      <alignment horizontal="left" wrapText="1"/>
    </xf>
    <xf numFmtId="0" fontId="27" fillId="0" borderId="0" xfId="0" applyFont="1" applyAlignment="1">
      <alignment horizontal="left" vertical="top" wrapText="1"/>
    </xf>
    <xf numFmtId="0" fontId="0" fillId="0" borderId="0" xfId="0" applyAlignment="1">
      <alignment horizontal="left" wrapText="1"/>
    </xf>
    <xf numFmtId="0" fontId="0" fillId="0" borderId="4" xfId="0" applyBorder="1" applyAlignment="1">
      <alignment horizontal="left"/>
    </xf>
    <xf numFmtId="0" fontId="0" fillId="0" borderId="0" xfId="0" applyAlignment="1">
      <alignment horizontal="left"/>
    </xf>
    <xf numFmtId="0" fontId="0" fillId="8" borderId="0" xfId="0" applyFill="1" applyAlignment="1">
      <alignment horizontal="left" vertical="center"/>
    </xf>
    <xf numFmtId="0" fontId="23"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2" fillId="5" borderId="2" xfId="0" applyFont="1" applyFill="1" applyBorder="1" applyAlignment="1" applyProtection="1">
      <alignment horizontal="left" wrapText="1"/>
      <protection hidden="1"/>
    </xf>
    <xf numFmtId="0" fontId="15" fillId="0" borderId="0" xfId="0" applyFont="1" applyAlignment="1" applyProtection="1">
      <alignment horizontal="right"/>
      <protection hidden="1"/>
    </xf>
    <xf numFmtId="0" fontId="27" fillId="0" borderId="0" xfId="0" quotePrefix="1" applyFont="1" applyAlignment="1">
      <alignment horizontal="left" vertical="top" wrapText="1"/>
    </xf>
    <xf numFmtId="0" fontId="27" fillId="0" borderId="0" xfId="0" applyFont="1" applyAlignment="1">
      <alignment horizontal="left" vertical="top" wrapText="1"/>
    </xf>
    <xf numFmtId="0" fontId="27" fillId="7" borderId="4"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5" xfId="0" applyFont="1" applyFill="1" applyBorder="1" applyAlignment="1">
      <alignment horizontal="left" vertical="center" wrapText="1"/>
    </xf>
    <xf numFmtId="0" fontId="27" fillId="7" borderId="6" xfId="0" applyFont="1" applyFill="1" applyBorder="1" applyAlignment="1">
      <alignment horizontal="left" vertical="center" wrapText="1"/>
    </xf>
    <xf numFmtId="0" fontId="27" fillId="7" borderId="11" xfId="0" applyFont="1" applyFill="1" applyBorder="1" applyAlignment="1">
      <alignment horizontal="left" vertical="center" wrapText="1"/>
    </xf>
    <xf numFmtId="0" fontId="27" fillId="7" borderId="7" xfId="0" applyFont="1" applyFill="1" applyBorder="1" applyAlignment="1">
      <alignment horizontal="left" vertical="center" wrapText="1"/>
    </xf>
    <xf numFmtId="0" fontId="12" fillId="5" borderId="2" xfId="0" applyFont="1" applyFill="1" applyBorder="1" applyAlignment="1">
      <alignment horizontal="center"/>
    </xf>
    <xf numFmtId="0" fontId="12" fillId="5" borderId="10" xfId="0" applyFont="1" applyFill="1" applyBorder="1" applyAlignment="1">
      <alignment horizontal="center"/>
    </xf>
    <xf numFmtId="0" fontId="12" fillId="5" borderId="3" xfId="0" applyFont="1" applyFill="1" applyBorder="1" applyAlignment="1">
      <alignment horizontal="center"/>
    </xf>
    <xf numFmtId="0" fontId="12" fillId="5" borderId="4" xfId="0" applyFont="1" applyFill="1" applyBorder="1" applyAlignment="1">
      <alignment horizontal="center"/>
    </xf>
    <xf numFmtId="0" fontId="12" fillId="5" borderId="0" xfId="0" applyFont="1" applyFill="1" applyAlignment="1">
      <alignment horizontal="center"/>
    </xf>
    <xf numFmtId="0" fontId="12" fillId="5" borderId="5" xfId="0" applyFont="1" applyFill="1" applyBorder="1" applyAlignment="1">
      <alignment horizontal="center"/>
    </xf>
    <xf numFmtId="0" fontId="27" fillId="0" borderId="0" xfId="0" applyFont="1" applyAlignment="1">
      <alignment horizontal="left" wrapText="1"/>
    </xf>
    <xf numFmtId="0" fontId="26" fillId="2" borderId="4" xfId="0" applyFont="1" applyFill="1" applyBorder="1" applyAlignment="1">
      <alignment horizontal="center" wrapText="1"/>
    </xf>
    <xf numFmtId="0" fontId="26" fillId="2" borderId="0" xfId="0" applyFont="1" applyFill="1" applyAlignment="1">
      <alignment horizontal="center" wrapText="1"/>
    </xf>
    <xf numFmtId="0" fontId="26" fillId="2" borderId="5" xfId="0" applyFont="1" applyFill="1" applyBorder="1" applyAlignment="1">
      <alignment horizontal="center" wrapText="1"/>
    </xf>
    <xf numFmtId="0" fontId="26" fillId="2" borderId="4" xfId="0" applyFont="1" applyFill="1" applyBorder="1" applyAlignment="1">
      <alignment horizontal="center"/>
    </xf>
    <xf numFmtId="0" fontId="26" fillId="2" borderId="0" xfId="0" applyFont="1" applyFill="1" applyAlignment="1">
      <alignment horizontal="center"/>
    </xf>
    <xf numFmtId="0" fontId="26" fillId="2" borderId="5" xfId="0" applyFont="1" applyFill="1" applyBorder="1" applyAlignment="1">
      <alignment horizontal="center"/>
    </xf>
    <xf numFmtId="0" fontId="26" fillId="2" borderId="4" xfId="0" applyFont="1" applyFill="1" applyBorder="1" applyAlignment="1">
      <alignment horizontal="center" vertical="top" wrapText="1"/>
    </xf>
    <xf numFmtId="0" fontId="26" fillId="2" borderId="0" xfId="0" applyFont="1" applyFill="1" applyAlignment="1">
      <alignment horizontal="center" vertical="top" wrapText="1"/>
    </xf>
    <xf numFmtId="0" fontId="26" fillId="2" borderId="5" xfId="0" applyFont="1" applyFill="1" applyBorder="1" applyAlignment="1">
      <alignment horizontal="center" vertical="top" wrapText="1"/>
    </xf>
    <xf numFmtId="0" fontId="26" fillId="2" borderId="6" xfId="0" applyFont="1" applyFill="1" applyBorder="1" applyAlignment="1">
      <alignment horizontal="center" wrapText="1"/>
    </xf>
    <xf numFmtId="0" fontId="26" fillId="2" borderId="11" xfId="0" applyFont="1" applyFill="1" applyBorder="1" applyAlignment="1">
      <alignment horizontal="center" wrapText="1"/>
    </xf>
    <xf numFmtId="0" fontId="26" fillId="2" borderId="7" xfId="0" applyFont="1" applyFill="1" applyBorder="1" applyAlignment="1">
      <alignment horizontal="center" wrapText="1"/>
    </xf>
    <xf numFmtId="0" fontId="37" fillId="5" borderId="1" xfId="0" applyFont="1" applyFill="1" applyBorder="1" applyAlignment="1">
      <alignment horizontal="center" vertical="top" wrapText="1"/>
    </xf>
    <xf numFmtId="0" fontId="7" fillId="5" borderId="0" xfId="0" applyFont="1" applyFill="1" applyAlignment="1">
      <alignment horizontal="left"/>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44" fillId="0" borderId="4" xfId="0" applyFont="1" applyBorder="1" applyAlignment="1">
      <alignment horizontal="left" wrapText="1"/>
    </xf>
    <xf numFmtId="0" fontId="44" fillId="0" borderId="0" xfId="0" applyFont="1" applyAlignment="1">
      <alignment horizontal="left" wrapText="1"/>
    </xf>
    <xf numFmtId="0" fontId="5" fillId="7" borderId="1" xfId="0" applyFont="1" applyFill="1" applyBorder="1" applyAlignment="1">
      <alignment horizontal="left"/>
    </xf>
    <xf numFmtId="0" fontId="0" fillId="0" borderId="1" xfId="0" applyBorder="1" applyAlignment="1" applyProtection="1">
      <alignment horizontal="left" vertical="top" wrapText="1"/>
      <protection hidden="1"/>
    </xf>
    <xf numFmtId="0" fontId="0" fillId="0" borderId="12"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 xfId="0" applyBorder="1" applyAlignment="1" applyProtection="1">
      <alignment horizontal="left" vertical="top" wrapText="1"/>
      <protection locked="0" hidden="1"/>
    </xf>
    <xf numFmtId="0" fontId="5" fillId="7" borderId="1" xfId="0" applyFont="1" applyFill="1" applyBorder="1" applyAlignment="1">
      <alignment horizontal="left" wrapText="1"/>
    </xf>
    <xf numFmtId="0" fontId="5" fillId="7" borderId="8" xfId="0" applyFont="1" applyFill="1" applyBorder="1" applyAlignment="1">
      <alignment horizontal="left" wrapText="1"/>
    </xf>
    <xf numFmtId="0" fontId="0" fillId="0" borderId="4" xfId="0" applyBorder="1" applyAlignment="1">
      <alignment horizontal="left" vertical="top" wrapText="1"/>
    </xf>
    <xf numFmtId="0" fontId="0" fillId="0" borderId="0" xfId="0" applyAlignment="1">
      <alignment horizontal="left" vertical="top" wrapText="1"/>
    </xf>
    <xf numFmtId="0" fontId="0" fillId="6" borderId="0" xfId="0" applyFill="1" applyAlignment="1">
      <alignment horizontal="left" vertical="top" wrapText="1"/>
    </xf>
    <xf numFmtId="0" fontId="0" fillId="8" borderId="0" xfId="0" applyFill="1" applyAlignment="1">
      <alignment horizontal="left" vertical="center"/>
    </xf>
    <xf numFmtId="0" fontId="43" fillId="8" borderId="10" xfId="0" applyFont="1" applyFill="1" applyBorder="1" applyAlignment="1">
      <alignment horizontal="left" vertical="top" wrapText="1"/>
    </xf>
    <xf numFmtId="3" fontId="44" fillId="8" borderId="0" xfId="0" applyNumberFormat="1" applyFont="1" applyFill="1" applyAlignment="1" applyProtection="1">
      <alignment horizontal="left" vertical="top" wrapText="1"/>
      <protection hidden="1"/>
    </xf>
    <xf numFmtId="0" fontId="44" fillId="0" borderId="0" xfId="0" applyFont="1" applyAlignment="1" applyProtection="1">
      <alignment horizontal="left" vertical="top" wrapText="1"/>
      <protection hidden="1"/>
    </xf>
    <xf numFmtId="0" fontId="0" fillId="0" borderId="12"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vertical="center"/>
    </xf>
    <xf numFmtId="0" fontId="0" fillId="2" borderId="4" xfId="0" applyFill="1" applyBorder="1" applyAlignment="1">
      <alignment horizontal="center" vertical="center"/>
    </xf>
    <xf numFmtId="0" fontId="0" fillId="2" borderId="0" xfId="0" applyFill="1" applyBorder="1" applyAlignment="1">
      <alignment horizontal="center" vertical="center"/>
    </xf>
    <xf numFmtId="0" fontId="30" fillId="10" borderId="2" xfId="0" applyFont="1" applyFill="1" applyBorder="1" applyAlignment="1" applyProtection="1">
      <alignment horizontal="left" vertical="center"/>
      <protection locked="0"/>
    </xf>
    <xf numFmtId="0" fontId="30" fillId="10" borderId="10" xfId="0" applyFont="1" applyFill="1" applyBorder="1" applyAlignment="1" applyProtection="1">
      <alignment horizontal="left" vertical="center"/>
      <protection locked="0"/>
    </xf>
    <xf numFmtId="0" fontId="30" fillId="10" borderId="3" xfId="0" applyFont="1" applyFill="1" applyBorder="1" applyAlignment="1" applyProtection="1">
      <alignment horizontal="left" vertical="center"/>
      <protection locked="0"/>
    </xf>
    <xf numFmtId="0" fontId="0" fillId="0" borderId="0" xfId="0" applyAlignment="1">
      <alignment horizontal="left" wrapText="1"/>
    </xf>
    <xf numFmtId="0" fontId="43" fillId="0" borderId="4" xfId="0" applyFont="1" applyBorder="1" applyAlignment="1">
      <alignment horizontal="left" wrapText="1"/>
    </xf>
    <xf numFmtId="0" fontId="43" fillId="0" borderId="0" xfId="0" applyFont="1" applyAlignment="1">
      <alignment horizontal="left" wrapText="1"/>
    </xf>
    <xf numFmtId="0" fontId="0" fillId="10" borderId="16" xfId="0" applyFill="1" applyBorder="1" applyAlignment="1">
      <alignment horizontal="center" wrapText="1"/>
    </xf>
    <xf numFmtId="0" fontId="0" fillId="10" borderId="17" xfId="0" applyFill="1" applyBorder="1" applyAlignment="1">
      <alignment horizontal="center" wrapText="1"/>
    </xf>
    <xf numFmtId="0" fontId="0" fillId="2" borderId="6" xfId="0" applyFill="1" applyBorder="1" applyAlignment="1">
      <alignment horizontal="center" vertical="center"/>
    </xf>
    <xf numFmtId="0" fontId="0" fillId="2" borderId="11" xfId="0" applyFill="1" applyBorder="1" applyAlignment="1">
      <alignment horizontal="center" vertical="center"/>
    </xf>
    <xf numFmtId="0" fontId="43" fillId="0" borderId="0" xfId="0" applyFont="1" applyAlignment="1" applyProtection="1">
      <alignment horizontal="left"/>
      <protection hidden="1"/>
    </xf>
    <xf numFmtId="0" fontId="0" fillId="0" borderId="8" xfId="0" applyBorder="1" applyAlignment="1">
      <alignment horizontal="left" vertical="top" wrapText="1"/>
    </xf>
    <xf numFmtId="0" fontId="0" fillId="0" borderId="12" xfId="0" applyBorder="1" applyAlignment="1">
      <alignment horizontal="left" vertical="top" wrapText="1"/>
    </xf>
    <xf numFmtId="0" fontId="0" fillId="0" borderId="9" xfId="0" applyBorder="1" applyAlignment="1">
      <alignment horizontal="left" vertical="top" wrapText="1"/>
    </xf>
    <xf numFmtId="0" fontId="10" fillId="5" borderId="0" xfId="0" applyFont="1" applyFill="1" applyAlignment="1">
      <alignment horizontal="center"/>
    </xf>
    <xf numFmtId="0" fontId="30" fillId="8" borderId="1" xfId="0" applyFont="1" applyFill="1" applyBorder="1" applyAlignment="1">
      <alignment horizontal="center" vertical="top"/>
    </xf>
    <xf numFmtId="0" fontId="30" fillId="8" borderId="1" xfId="0" applyFont="1" applyFill="1" applyBorder="1" applyAlignment="1">
      <alignment horizontal="center" vertical="center"/>
    </xf>
    <xf numFmtId="0" fontId="30" fillId="10" borderId="0" xfId="0" applyFont="1" applyFill="1" applyAlignment="1" applyProtection="1">
      <alignment horizontal="left" vertical="top" wrapText="1"/>
      <protection locked="0"/>
    </xf>
    <xf numFmtId="0" fontId="5" fillId="11" borderId="0" xfId="0" applyFont="1" applyFill="1" applyAlignment="1" applyProtection="1">
      <alignment horizontal="left" vertical="center" wrapText="1"/>
      <protection hidden="1"/>
    </xf>
    <xf numFmtId="0" fontId="44" fillId="11" borderId="0" xfId="0" applyFont="1" applyFill="1" applyAlignment="1">
      <alignment horizontal="left" wrapText="1"/>
    </xf>
    <xf numFmtId="0" fontId="0" fillId="0" borderId="4" xfId="0" applyBorder="1" applyAlignment="1">
      <alignment horizontal="left"/>
    </xf>
    <xf numFmtId="0" fontId="0" fillId="0" borderId="0" xfId="0" applyAlignment="1">
      <alignment horizontal="left"/>
    </xf>
    <xf numFmtId="3" fontId="44" fillId="8" borderId="0" xfId="0" applyNumberFormat="1" applyFont="1" applyFill="1" applyAlignment="1">
      <alignment horizontal="left" vertical="top" wrapText="1"/>
    </xf>
    <xf numFmtId="0" fontId="0" fillId="0" borderId="8" xfId="0" applyBorder="1" applyAlignment="1" applyProtection="1">
      <alignment horizontal="center" vertical="top"/>
      <protection locked="0"/>
    </xf>
    <xf numFmtId="0" fontId="0" fillId="0" borderId="12" xfId="0" applyBorder="1" applyAlignment="1" applyProtection="1">
      <alignment horizontal="center" vertical="top"/>
      <protection locked="0"/>
    </xf>
    <xf numFmtId="3" fontId="0" fillId="8" borderId="4" xfId="0" applyNumberFormat="1" applyFill="1" applyBorder="1" applyAlignment="1">
      <alignment horizontal="left" vertical="center" wrapText="1"/>
    </xf>
    <xf numFmtId="3" fontId="0" fillId="8" borderId="0" xfId="0" applyNumberFormat="1" applyFill="1" applyAlignment="1">
      <alignment horizontal="left" vertical="center" wrapText="1"/>
    </xf>
    <xf numFmtId="0" fontId="10" fillId="5" borderId="0" xfId="0" applyFont="1" applyFill="1" applyAlignment="1" applyProtection="1">
      <alignment horizontal="center"/>
      <protection hidden="1"/>
    </xf>
    <xf numFmtId="0" fontId="23" fillId="0" borderId="0" xfId="0" applyFont="1" applyAlignment="1" applyProtection="1">
      <alignment horizontal="left" wrapText="1"/>
      <protection hidden="1"/>
    </xf>
    <xf numFmtId="0" fontId="15" fillId="0" borderId="0" xfId="0" applyFont="1" applyAlignment="1" applyProtection="1">
      <alignment horizontal="left" wrapText="1"/>
      <protection hidden="1"/>
    </xf>
    <xf numFmtId="0" fontId="2" fillId="5" borderId="2" xfId="0" applyFont="1" applyFill="1" applyBorder="1" applyAlignment="1" applyProtection="1">
      <alignment horizontal="left" wrapText="1"/>
      <protection hidden="1"/>
    </xf>
    <xf numFmtId="0" fontId="2" fillId="5" borderId="10" xfId="0" applyFont="1" applyFill="1" applyBorder="1" applyAlignment="1" applyProtection="1">
      <alignment horizontal="left" wrapText="1"/>
      <protection hidden="1"/>
    </xf>
    <xf numFmtId="0" fontId="2" fillId="5" borderId="3" xfId="0" applyFont="1" applyFill="1" applyBorder="1" applyAlignment="1" applyProtection="1">
      <alignment horizontal="left" wrapText="1"/>
      <protection hidden="1"/>
    </xf>
    <xf numFmtId="0" fontId="15" fillId="2" borderId="2" xfId="0" applyFont="1" applyFill="1" applyBorder="1" applyAlignment="1" applyProtection="1">
      <alignment horizontal="left"/>
      <protection hidden="1"/>
    </xf>
    <xf numFmtId="0" fontId="15" fillId="2" borderId="10" xfId="0" applyFont="1" applyFill="1" applyBorder="1" applyAlignment="1" applyProtection="1">
      <alignment horizontal="left"/>
      <protection hidden="1"/>
    </xf>
    <xf numFmtId="0" fontId="15" fillId="2" borderId="3" xfId="0" applyFont="1" applyFill="1" applyBorder="1" applyAlignment="1" applyProtection="1">
      <alignment horizontal="left"/>
      <protection hidden="1"/>
    </xf>
    <xf numFmtId="0" fontId="15" fillId="2" borderId="8" xfId="0" applyFont="1" applyFill="1" applyBorder="1" applyAlignment="1" applyProtection="1">
      <alignment horizontal="left"/>
      <protection hidden="1"/>
    </xf>
    <xf numFmtId="0" fontId="15" fillId="2" borderId="12" xfId="0" applyFont="1" applyFill="1" applyBorder="1" applyAlignment="1" applyProtection="1">
      <alignment horizontal="left"/>
      <protection hidden="1"/>
    </xf>
    <xf numFmtId="0" fontId="15" fillId="2" borderId="9" xfId="0" applyFont="1" applyFill="1" applyBorder="1" applyAlignment="1" applyProtection="1">
      <alignment horizontal="left"/>
      <protection hidden="1"/>
    </xf>
    <xf numFmtId="0" fontId="15" fillId="2" borderId="8" xfId="0" applyFont="1" applyFill="1" applyBorder="1" applyAlignment="1" applyProtection="1">
      <alignment horizontal="left" vertical="center" wrapText="1"/>
      <protection hidden="1"/>
    </xf>
    <xf numFmtId="0" fontId="15" fillId="2" borderId="12" xfId="0" applyFont="1" applyFill="1" applyBorder="1" applyAlignment="1" applyProtection="1">
      <alignment horizontal="left" vertical="center" wrapText="1"/>
      <protection hidden="1"/>
    </xf>
    <xf numFmtId="0" fontId="15" fillId="2" borderId="9" xfId="0" applyFont="1" applyFill="1" applyBorder="1" applyAlignment="1" applyProtection="1">
      <alignment horizontal="left" vertical="center" wrapText="1"/>
      <protection hidden="1"/>
    </xf>
    <xf numFmtId="0" fontId="15" fillId="0" borderId="0" xfId="0" applyFont="1" applyAlignment="1" applyProtection="1">
      <alignment horizontal="right"/>
      <protection hidden="1"/>
    </xf>
    <xf numFmtId="0" fontId="15" fillId="0" borderId="4" xfId="0" applyFont="1" applyBorder="1" applyAlignment="1" applyProtection="1">
      <alignment horizontal="left" wrapText="1"/>
      <protection hidden="1"/>
    </xf>
    <xf numFmtId="0" fontId="15" fillId="0" borderId="4" xfId="0" applyFont="1" applyBorder="1" applyAlignment="1" applyProtection="1">
      <alignment horizontal="left" vertical="center" wrapText="1"/>
      <protection hidden="1"/>
    </xf>
    <xf numFmtId="0" fontId="15" fillId="0" borderId="0" xfId="0" applyFont="1" applyAlignment="1" applyProtection="1">
      <alignment horizontal="left" vertical="center" wrapText="1"/>
      <protection hidden="1"/>
    </xf>
    <xf numFmtId="0" fontId="0" fillId="0" borderId="10" xfId="0" applyBorder="1" applyAlignment="1" applyProtection="1">
      <alignment horizontal="left" vertical="top" wrapText="1"/>
      <protection hidden="1"/>
    </xf>
    <xf numFmtId="0" fontId="18" fillId="3" borderId="0" xfId="0" applyFont="1" applyFill="1" applyAlignment="1">
      <alignment horizontal="center" wrapText="1"/>
    </xf>
    <xf numFmtId="0" fontId="15" fillId="3" borderId="0" xfId="0" applyFont="1" applyFill="1" applyAlignment="1">
      <alignment horizontal="center" wrapText="1"/>
    </xf>
    <xf numFmtId="0" fontId="18" fillId="3" borderId="0" xfId="0" applyFont="1" applyFill="1" applyAlignment="1">
      <alignment horizontal="center"/>
    </xf>
    <xf numFmtId="0" fontId="15" fillId="3" borderId="0" xfId="0" applyFont="1" applyFill="1" applyAlignment="1">
      <alignment horizontal="center"/>
    </xf>
    <xf numFmtId="0" fontId="15" fillId="3" borderId="0" xfId="0" applyFont="1" applyFill="1" applyAlignment="1">
      <alignment horizontal="left"/>
    </xf>
    <xf numFmtId="0" fontId="18" fillId="3" borderId="0" xfId="0" applyFont="1" applyFill="1" applyAlignment="1">
      <alignment horizontal="center" vertical="top"/>
    </xf>
    <xf numFmtId="0" fontId="15" fillId="3" borderId="0" xfId="0" applyFont="1" applyFill="1" applyAlignment="1">
      <alignment horizontal="center" vertical="top"/>
    </xf>
    <xf numFmtId="0" fontId="7" fillId="5" borderId="0" xfId="0" applyFont="1" applyFill="1" applyAlignment="1">
      <alignment horizontal="center"/>
    </xf>
    <xf numFmtId="0" fontId="18" fillId="3" borderId="8" xfId="0" applyFont="1" applyFill="1" applyBorder="1" applyAlignment="1">
      <alignment horizontal="center"/>
    </xf>
    <xf numFmtId="0" fontId="18" fillId="3" borderId="12" xfId="0" applyFont="1" applyFill="1" applyBorder="1" applyAlignment="1">
      <alignment horizontal="center"/>
    </xf>
    <xf numFmtId="0" fontId="18" fillId="3" borderId="9" xfId="0" applyFont="1" applyFill="1" applyBorder="1" applyAlignment="1">
      <alignment horizontal="center"/>
    </xf>
    <xf numFmtId="0" fontId="15" fillId="3" borderId="10" xfId="0" applyFont="1" applyFill="1" applyBorder="1" applyAlignment="1">
      <alignment horizontal="left"/>
    </xf>
    <xf numFmtId="7" fontId="17" fillId="0" borderId="10" xfId="0" applyNumberFormat="1" applyFont="1" applyBorder="1" applyAlignment="1">
      <alignment horizontal="left" vertical="top" wrapText="1"/>
    </xf>
    <xf numFmtId="7" fontId="15" fillId="2" borderId="10" xfId="0" applyNumberFormat="1" applyFont="1" applyFill="1" applyBorder="1" applyAlignment="1">
      <alignment horizontal="left"/>
    </xf>
    <xf numFmtId="7" fontId="15" fillId="2" borderId="3" xfId="0" applyNumberFormat="1" applyFont="1" applyFill="1" applyBorder="1" applyAlignment="1">
      <alignment horizontal="left"/>
    </xf>
    <xf numFmtId="0" fontId="17" fillId="0" borderId="0" xfId="0" applyFont="1" applyAlignment="1">
      <alignment horizontal="left" vertical="top" wrapText="1"/>
    </xf>
    <xf numFmtId="0" fontId="7" fillId="9"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Drop" dropLines="2" dropStyle="combo" dx="16" fmlaLink="P42" fmlaRange="$Q$41:$Q$42" noThreeD="1" sel="2" val="0"/>
</file>

<file path=xl/ctrlProps/ctrlProp10.xml><?xml version="1.0" encoding="utf-8"?>
<formControlPr xmlns="http://schemas.microsoft.com/office/spreadsheetml/2009/9/main" objectType="Button" lockText="1"/>
</file>

<file path=xl/ctrlProps/ctrlProp2.xml><?xml version="1.0" encoding="utf-8"?>
<formControlPr xmlns="http://schemas.microsoft.com/office/spreadsheetml/2009/9/main" objectType="Drop" dropLines="3" dropStyle="combo" dx="16" fmlaLink="P25" fmlaRange="$Q$24:$Q$26" noThreeD="1" sel="3" val="0"/>
</file>

<file path=xl/ctrlProps/ctrlProp3.xml><?xml version="1.0" encoding="utf-8"?>
<formControlPr xmlns="http://schemas.microsoft.com/office/spreadsheetml/2009/9/main" objectType="Drop" dropLines="3" dropStyle="combo" dx="16" fmlaLink="P8" fmlaRange="$Q$7:$Q$9" noThreeD="1" sel="2" val="0"/>
</file>

<file path=xl/ctrlProps/ctrlProp4.xml><?xml version="1.0" encoding="utf-8"?>
<formControlPr xmlns="http://schemas.microsoft.com/office/spreadsheetml/2009/9/main" objectType="Drop" dropLines="4" dropStyle="combo" dx="16" fmlaLink="P17" fmlaRange="$Q$15:$Q$18" noThreeD="1" sel="2" val="0"/>
</file>

<file path=xl/ctrlProps/ctrlProp5.xml><?xml version="1.0" encoding="utf-8"?>
<formControlPr xmlns="http://schemas.microsoft.com/office/spreadsheetml/2009/9/main" objectType="Drop" dropLines="4" dropStyle="combo" dx="16" fmlaLink="P12" fmlaRange="$Q$10:$Q$13" noThreeD="1" sel="2" val="0"/>
</file>

<file path=xl/ctrlProps/ctrlProp6.xml><?xml version="1.0" encoding="utf-8"?>
<formControlPr xmlns="http://schemas.microsoft.com/office/spreadsheetml/2009/9/main" objectType="Drop" dropLines="6" dropStyle="combo" dx="16" fmlaLink="S12" fmlaRange="$R$10:$R$15" noThreeD="1" sel="3" val="0"/>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Drop" dropLines="3" dropStyle="combo" dx="16" fmlaLink="$S$8" fmlaRange="$R$7:$R$9" noThreeD="1" sel="3" val="0"/>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41</xdr:row>
          <xdr:rowOff>171450</xdr:rowOff>
        </xdr:from>
        <xdr:to>
          <xdr:col>3</xdr:col>
          <xdr:colOff>66675</xdr:colOff>
          <xdr:row>43</xdr:row>
          <xdr:rowOff>0</xdr:rowOff>
        </xdr:to>
        <xdr:sp macro="" textlink="">
          <xdr:nvSpPr>
            <xdr:cNvPr id="10263" name="Drop Down 23" hidden="1">
              <a:extLst>
                <a:ext uri="{63B3BB69-23CF-44E3-9099-C40C66FF867C}">
                  <a14:compatExt spid="_x0000_s10263"/>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15</xdr:row>
          <xdr:rowOff>104775</xdr:rowOff>
        </xdr:from>
        <xdr:to>
          <xdr:col>2</xdr:col>
          <xdr:colOff>714375</xdr:colOff>
          <xdr:row>15</xdr:row>
          <xdr:rowOff>304800</xdr:rowOff>
        </xdr:to>
        <xdr:sp macro="" textlink="">
          <xdr:nvSpPr>
            <xdr:cNvPr id="10265" name="Drop Down 25" hidden="1">
              <a:extLst>
                <a:ext uri="{63B3BB69-23CF-44E3-9099-C40C66FF867C}">
                  <a14:compatExt spid="_x0000_s1026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3429000</xdr:colOff>
          <xdr:row>3</xdr:row>
          <xdr:rowOff>228600</xdr:rowOff>
        </xdr:from>
        <xdr:to>
          <xdr:col>3</xdr:col>
          <xdr:colOff>38100</xdr:colOff>
          <xdr:row>3</xdr:row>
          <xdr:rowOff>457200</xdr:rowOff>
        </xdr:to>
        <xdr:sp macro="" textlink="">
          <xdr:nvSpPr>
            <xdr:cNvPr id="10270" name="Drop Down 30" hidden="1">
              <a:extLst>
                <a:ext uri="{63B3BB69-23CF-44E3-9099-C40C66FF867C}">
                  <a14:compatExt spid="_x0000_s10270"/>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533400</xdr:colOff>
          <xdr:row>3</xdr:row>
          <xdr:rowOff>314325</xdr:rowOff>
        </xdr:from>
        <xdr:to>
          <xdr:col>9</xdr:col>
          <xdr:colOff>638175</xdr:colOff>
          <xdr:row>4</xdr:row>
          <xdr:rowOff>19050</xdr:rowOff>
        </xdr:to>
        <xdr:sp macro="" textlink="">
          <xdr:nvSpPr>
            <xdr:cNvPr id="10271" name="Drop Down 31" hidden="1">
              <a:extLst>
                <a:ext uri="{63B3BB69-23CF-44E3-9099-C40C66FF867C}">
                  <a14:compatExt spid="_x0000_s10271"/>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238125</xdr:rowOff>
        </xdr:from>
        <xdr:to>
          <xdr:col>10</xdr:col>
          <xdr:colOff>361950</xdr:colOff>
          <xdr:row>12</xdr:row>
          <xdr:rowOff>428625</xdr:rowOff>
        </xdr:to>
        <xdr:sp macro="" textlink="">
          <xdr:nvSpPr>
            <xdr:cNvPr id="10274" name="Drop Down 34" hidden="1">
              <a:extLst>
                <a:ext uri="{63B3BB69-23CF-44E3-9099-C40C66FF867C}">
                  <a14:compatExt spid="_x0000_s10274"/>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1047750</xdr:colOff>
          <xdr:row>9</xdr:row>
          <xdr:rowOff>76200</xdr:rowOff>
        </xdr:from>
        <xdr:to>
          <xdr:col>9</xdr:col>
          <xdr:colOff>285750</xdr:colOff>
          <xdr:row>10</xdr:row>
          <xdr:rowOff>19050</xdr:rowOff>
        </xdr:to>
        <xdr:sp macro="" textlink="">
          <xdr:nvSpPr>
            <xdr:cNvPr id="10275" name="Drop Down 35" hidden="1">
              <a:extLst>
                <a:ext uri="{63B3BB69-23CF-44E3-9099-C40C66FF867C}">
                  <a14:compatExt spid="_x0000_s10275"/>
                </a:ext>
              </a:extLst>
            </xdr:cNvPr>
            <xdr:cNvSpPr/>
          </xdr:nvSpPr>
          <xdr:spPr>
            <a:xfrm>
              <a:off x="0" y="0"/>
              <a:ext cx="0" cy="0"/>
            </a:xfrm>
            <a:prstGeom prst="rect">
              <a:avLst/>
            </a:prstGeom>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333375</xdr:colOff>
          <xdr:row>4</xdr:row>
          <xdr:rowOff>95250</xdr:rowOff>
        </xdr:from>
        <xdr:to>
          <xdr:col>12</xdr:col>
          <xdr:colOff>85725</xdr:colOff>
          <xdr:row>5</xdr:row>
          <xdr:rowOff>47625</xdr:rowOff>
        </xdr:to>
        <xdr:sp macro="" textlink="">
          <xdr:nvSpPr>
            <xdr:cNvPr id="10276" name="Button 36" hidden="1">
              <a:extLst>
                <a:ext uri="{63B3BB69-23CF-44E3-9099-C40C66FF867C}">
                  <a14:compatExt spid="_x0000_s10276"/>
                </a:ext>
              </a:extLst>
            </xdr:cNvPr>
            <xdr:cNvSpPr/>
          </xdr:nvSpPr>
          <xdr:spPr>
            <a:xfrm>
              <a:off x="0" y="0"/>
              <a:ext cx="0" cy="0"/>
            </a:xfrm>
            <a:prstGeom prst="rect">
              <a:avLst/>
            </a:prstGeom>
          </xdr:spPr>
          <xdr:txBody>
            <a:bodyPr vertOverflow="clip" wrap="square" lIns="64008" tIns="64008" rIns="64008" bIns="64008" anchor="ctr" upright="1"/>
            <a:lstStyle/>
            <a:p>
              <a:pPr algn="ctr" rtl="0">
                <a:defRPr sz="1000"/>
              </a:pPr>
              <a:r>
                <a:rPr lang="en-US" sz="1600" b="0" i="0" u="none" strike="noStrike" baseline="0">
                  <a:solidFill>
                    <a:srgbClr val="000080"/>
                  </a:solidFill>
                  <a:latin typeface="Calibri"/>
                  <a:cs typeface="Calibri"/>
                </a:rPr>
                <a:t>Reset Form</a:t>
              </a:r>
            </a:p>
          </xdr:txBody>
        </xdr:sp>
        <xdr:clientData fLocksWithSheet="0" fPrintsWithSheet="0"/>
      </xdr:twoCellAnchor>
    </mc:Choice>
    <mc:Fallback/>
  </mc:AlternateContent>
  <xdr:oneCellAnchor>
    <xdr:from>
      <xdr:col>16</xdr:col>
      <xdr:colOff>0</xdr:colOff>
      <xdr:row>12</xdr:row>
      <xdr:rowOff>0</xdr:rowOff>
    </xdr:from>
    <xdr:ext cx="184731" cy="264560"/>
    <xdr:sp macro="" textlink="">
      <xdr:nvSpPr>
        <xdr:cNvPr id="2" name="TextBox 1">
          <a:extLst>
            <a:ext uri="{FF2B5EF4-FFF2-40B4-BE49-F238E27FC236}">
              <a16:creationId xmlns="" xmlns:a16="http://schemas.microsoft.com/office/drawing/2014/main" id="{00000000-0008-0000-0100-000002000000}"/>
            </a:ext>
          </a:extLst>
        </xdr:cNvPr>
        <xdr:cNvSpPr txBox="1"/>
      </xdr:nvSpPr>
      <xdr:spPr>
        <a:xfrm>
          <a:off x="10477500" y="274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mc:AlternateContent xmlns:mc="http://schemas.openxmlformats.org/markup-compatibility/2006">
    <mc:Choice xmlns:a14="http://schemas.microsoft.com/office/drawing/2010/main" Requires="a14">
      <xdr:twoCellAnchor editAs="oneCell">
        <xdr:from>
          <xdr:col>1</xdr:col>
          <xdr:colOff>3133725</xdr:colOff>
          <xdr:row>4</xdr:row>
          <xdr:rowOff>209550</xdr:rowOff>
        </xdr:from>
        <xdr:to>
          <xdr:col>3</xdr:col>
          <xdr:colOff>38100</xdr:colOff>
          <xdr:row>4</xdr:row>
          <xdr:rowOff>447675</xdr:rowOff>
        </xdr:to>
        <xdr:sp macro="" textlink="">
          <xdr:nvSpPr>
            <xdr:cNvPr id="10279" name="Drop Down 39" hidden="1">
              <a:extLst>
                <a:ext uri="{63B3BB69-23CF-44E3-9099-C40C66FF867C}">
                  <a14:compatExt spid="_x0000_s10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485775</xdr:colOff>
          <xdr:row>24</xdr:row>
          <xdr:rowOff>9525</xdr:rowOff>
        </xdr:from>
        <xdr:to>
          <xdr:col>11</xdr:col>
          <xdr:colOff>714375</xdr:colOff>
          <xdr:row>24</xdr:row>
          <xdr:rowOff>381000</xdr:rowOff>
        </xdr:to>
        <xdr:sp macro="" textlink="">
          <xdr:nvSpPr>
            <xdr:cNvPr id="10280" name="Button 40" hidden="1">
              <a:extLst>
                <a:ext uri="{63B3BB69-23CF-44E3-9099-C40C66FF867C}">
                  <a14:compatExt spid="_x0000_s10280"/>
                </a:ext>
              </a:extLst>
            </xdr:cNvPr>
            <xdr:cNvSpPr/>
          </xdr:nvSpPr>
          <xdr:spPr>
            <a:xfrm>
              <a:off x="0" y="0"/>
              <a:ext cx="0" cy="0"/>
            </a:xfrm>
            <a:prstGeom prst="rect">
              <a:avLst/>
            </a:prstGeom>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Calculate </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24</xdr:row>
          <xdr:rowOff>0</xdr:rowOff>
        </xdr:from>
        <xdr:to>
          <xdr:col>13</xdr:col>
          <xdr:colOff>161925</xdr:colOff>
          <xdr:row>24</xdr:row>
          <xdr:rowOff>371475</xdr:rowOff>
        </xdr:to>
        <xdr:sp macro="" textlink="">
          <xdr:nvSpPr>
            <xdr:cNvPr id="10281" name="Button 41" hidden="1">
              <a:extLst>
                <a:ext uri="{63B3BB69-23CF-44E3-9099-C40C66FF867C}">
                  <a14:compatExt spid="_x0000_s10281"/>
                </a:ext>
              </a:extLst>
            </xdr:cNvPr>
            <xdr:cNvSpPr/>
          </xdr:nvSpPr>
          <xdr:spPr>
            <a:xfrm>
              <a:off x="0" y="0"/>
              <a:ext cx="0" cy="0"/>
            </a:xfrm>
            <a:prstGeom prst="rect">
              <a:avLst/>
            </a:prstGeom>
          </xdr:spPr>
          <xdr:txBody>
            <a:bodyPr vertOverflow="clip" wrap="square" lIns="45720" tIns="45720" rIns="45720" bIns="45720" anchor="ctr" upright="1"/>
            <a:lstStyle/>
            <a:p>
              <a:pPr algn="ctr" rtl="0">
                <a:defRPr sz="1000"/>
              </a:pPr>
              <a:r>
                <a:rPr lang="en-US" sz="1100" b="0" i="0" u="none" strike="noStrike" baseline="0">
                  <a:solidFill>
                    <a:srgbClr val="000000"/>
                  </a:solidFill>
                  <a:latin typeface="Calibri"/>
                  <a:cs typeface="Calibri"/>
                </a:rPr>
                <a:t>Reset </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O30"/>
  <sheetViews>
    <sheetView showGridLines="0" tabSelected="1" zoomScaleNormal="100" workbookViewId="0">
      <selection sqref="A1:O1"/>
    </sheetView>
  </sheetViews>
  <sheetFormatPr defaultRowHeight="14.25" x14ac:dyDescent="0.45"/>
  <cols>
    <col min="13" max="13" width="34.86328125" customWidth="1"/>
  </cols>
  <sheetData>
    <row r="1" spans="1:15" ht="23.25" x14ac:dyDescent="0.35">
      <c r="A1" s="261" t="s">
        <v>0</v>
      </c>
      <c r="B1" s="262"/>
      <c r="C1" s="262"/>
      <c r="D1" s="262"/>
      <c r="E1" s="262"/>
      <c r="F1" s="262"/>
      <c r="G1" s="262"/>
      <c r="H1" s="262"/>
      <c r="I1" s="262"/>
      <c r="J1" s="262"/>
      <c r="K1" s="262"/>
      <c r="L1" s="262"/>
      <c r="M1" s="262"/>
      <c r="N1" s="262"/>
      <c r="O1" s="263"/>
    </row>
    <row r="2" spans="1:15" ht="23.25" x14ac:dyDescent="0.35">
      <c r="A2" s="264" t="s">
        <v>1</v>
      </c>
      <c r="B2" s="265"/>
      <c r="C2" s="265"/>
      <c r="D2" s="265"/>
      <c r="E2" s="265"/>
      <c r="F2" s="265"/>
      <c r="G2" s="265"/>
      <c r="H2" s="265"/>
      <c r="I2" s="265"/>
      <c r="J2" s="265"/>
      <c r="K2" s="265"/>
      <c r="L2" s="265"/>
      <c r="M2" s="265"/>
      <c r="N2" s="265"/>
      <c r="O2" s="266"/>
    </row>
    <row r="3" spans="1:15" s="14" customFormat="1" ht="22.5" customHeight="1" x14ac:dyDescent="0.3">
      <c r="A3" s="268" t="s">
        <v>2</v>
      </c>
      <c r="B3" s="269"/>
      <c r="C3" s="269"/>
      <c r="D3" s="269"/>
      <c r="E3" s="269"/>
      <c r="F3" s="269"/>
      <c r="G3" s="269"/>
      <c r="H3" s="269"/>
      <c r="I3" s="269"/>
      <c r="J3" s="269"/>
      <c r="K3" s="269"/>
      <c r="L3" s="269"/>
      <c r="M3" s="269"/>
      <c r="N3" s="269"/>
      <c r="O3" s="270"/>
    </row>
    <row r="4" spans="1:15" s="14" customFormat="1" ht="18.75" x14ac:dyDescent="0.3">
      <c r="A4" s="271" t="s">
        <v>3</v>
      </c>
      <c r="B4" s="272"/>
      <c r="C4" s="272"/>
      <c r="D4" s="272"/>
      <c r="E4" s="272"/>
      <c r="F4" s="272"/>
      <c r="G4" s="272"/>
      <c r="H4" s="272"/>
      <c r="I4" s="272"/>
      <c r="J4" s="272"/>
      <c r="K4" s="272"/>
      <c r="L4" s="272"/>
      <c r="M4" s="272"/>
      <c r="N4" s="272"/>
      <c r="O4" s="273"/>
    </row>
    <row r="5" spans="1:15" s="14" customFormat="1" ht="18.75" customHeight="1" x14ac:dyDescent="0.3">
      <c r="A5" s="274" t="s">
        <v>4</v>
      </c>
      <c r="B5" s="275"/>
      <c r="C5" s="275"/>
      <c r="D5" s="275"/>
      <c r="E5" s="275"/>
      <c r="F5" s="275"/>
      <c r="G5" s="275"/>
      <c r="H5" s="275"/>
      <c r="I5" s="275"/>
      <c r="J5" s="275"/>
      <c r="K5" s="275"/>
      <c r="L5" s="275"/>
      <c r="M5" s="275"/>
      <c r="N5" s="275"/>
      <c r="O5" s="276"/>
    </row>
    <row r="6" spans="1:15" s="14" customFormat="1" ht="18.75" customHeight="1" x14ac:dyDescent="0.3">
      <c r="A6" s="274" t="s">
        <v>5</v>
      </c>
      <c r="B6" s="275"/>
      <c r="C6" s="275"/>
      <c r="D6" s="275"/>
      <c r="E6" s="275"/>
      <c r="F6" s="275"/>
      <c r="G6" s="275"/>
      <c r="H6" s="275"/>
      <c r="I6" s="275"/>
      <c r="J6" s="275"/>
      <c r="K6" s="275"/>
      <c r="L6" s="275"/>
      <c r="M6" s="275"/>
      <c r="N6" s="275"/>
      <c r="O6" s="276"/>
    </row>
    <row r="7" spans="1:15" s="14" customFormat="1" ht="18.75" x14ac:dyDescent="0.3">
      <c r="A7" s="277" t="s">
        <v>6</v>
      </c>
      <c r="B7" s="278"/>
      <c r="C7" s="278"/>
      <c r="D7" s="278"/>
      <c r="E7" s="278"/>
      <c r="F7" s="278"/>
      <c r="G7" s="278"/>
      <c r="H7" s="278"/>
      <c r="I7" s="278"/>
      <c r="J7" s="278"/>
      <c r="K7" s="278"/>
      <c r="L7" s="278"/>
      <c r="M7" s="278"/>
      <c r="N7" s="278"/>
      <c r="O7" s="279"/>
    </row>
    <row r="9" spans="1:15" s="18" customFormat="1" ht="69" customHeight="1" x14ac:dyDescent="0.25">
      <c r="B9" s="267" t="s">
        <v>7</v>
      </c>
      <c r="C9" s="267"/>
      <c r="D9" s="267"/>
      <c r="E9" s="267"/>
      <c r="F9" s="267"/>
      <c r="G9" s="267"/>
      <c r="H9" s="267"/>
      <c r="I9" s="267"/>
      <c r="J9" s="267"/>
      <c r="K9" s="267"/>
      <c r="L9" s="267"/>
      <c r="M9" s="267"/>
      <c r="N9" s="267"/>
      <c r="O9" s="33"/>
    </row>
    <row r="10" spans="1:15" s="18" customFormat="1" ht="15.75" x14ac:dyDescent="0.25"/>
    <row r="11" spans="1:15" s="18" customFormat="1" ht="84" customHeight="1" x14ac:dyDescent="0.25">
      <c r="B11" s="254" t="s">
        <v>8</v>
      </c>
      <c r="C11" s="254"/>
      <c r="D11" s="254"/>
      <c r="E11" s="254"/>
      <c r="F11" s="254"/>
      <c r="G11" s="254"/>
      <c r="H11" s="254"/>
      <c r="I11" s="254"/>
      <c r="J11" s="254"/>
      <c r="K11" s="254"/>
      <c r="L11" s="254"/>
      <c r="M11" s="254"/>
      <c r="N11" s="254"/>
    </row>
    <row r="12" spans="1:15" s="18" customFormat="1" ht="18.75" customHeight="1" x14ac:dyDescent="0.25">
      <c r="B12" s="244"/>
      <c r="C12" s="244"/>
      <c r="D12" s="244"/>
      <c r="E12" s="244"/>
      <c r="F12" s="244"/>
      <c r="G12" s="244"/>
      <c r="H12" s="244"/>
      <c r="I12" s="244"/>
      <c r="J12" s="244"/>
      <c r="K12" s="244"/>
      <c r="L12" s="244"/>
      <c r="M12" s="244"/>
      <c r="N12" s="244"/>
    </row>
    <row r="13" spans="1:15" s="18" customFormat="1" ht="18.75" customHeight="1" x14ac:dyDescent="0.25">
      <c r="B13" s="254" t="s">
        <v>9</v>
      </c>
      <c r="C13" s="254"/>
      <c r="D13" s="254"/>
      <c r="E13" s="254"/>
      <c r="F13" s="254"/>
      <c r="G13" s="254"/>
      <c r="H13" s="254"/>
      <c r="I13" s="254"/>
      <c r="J13" s="254"/>
      <c r="K13" s="254"/>
      <c r="L13" s="254"/>
      <c r="M13" s="254"/>
      <c r="N13" s="254"/>
    </row>
    <row r="14" spans="1:15" s="18" customFormat="1" ht="18.75" customHeight="1" x14ac:dyDescent="0.25">
      <c r="B14" s="244"/>
      <c r="C14" s="244"/>
      <c r="D14" s="244"/>
      <c r="E14" s="244"/>
      <c r="F14" s="244"/>
      <c r="G14" s="244"/>
      <c r="H14" s="244"/>
      <c r="I14" s="244"/>
      <c r="J14" s="244"/>
      <c r="K14" s="244"/>
      <c r="L14" s="244"/>
      <c r="M14" s="244"/>
      <c r="N14" s="244"/>
    </row>
    <row r="15" spans="1:15" s="18" customFormat="1" ht="18.75" customHeight="1" x14ac:dyDescent="0.25">
      <c r="B15" s="37" t="s">
        <v>10</v>
      </c>
      <c r="C15" s="253" t="s">
        <v>11</v>
      </c>
      <c r="D15" s="253"/>
      <c r="E15" s="253"/>
      <c r="F15" s="253"/>
      <c r="G15" s="253"/>
      <c r="H15" s="253"/>
      <c r="I15" s="253"/>
      <c r="J15" s="253"/>
      <c r="K15" s="253"/>
      <c r="L15" s="253"/>
      <c r="M15" s="253"/>
      <c r="N15" s="244"/>
    </row>
    <row r="16" spans="1:15" s="18" customFormat="1" ht="18.75" customHeight="1" x14ac:dyDescent="0.25">
      <c r="B16" s="37" t="s">
        <v>12</v>
      </c>
      <c r="C16" s="253" t="s">
        <v>13</v>
      </c>
      <c r="D16" s="253"/>
      <c r="E16" s="253"/>
      <c r="F16" s="253"/>
      <c r="G16" s="253"/>
      <c r="H16" s="253"/>
      <c r="I16" s="253"/>
      <c r="J16" s="253"/>
      <c r="K16" s="253"/>
      <c r="L16" s="253"/>
      <c r="M16" s="253"/>
      <c r="N16" s="244"/>
    </row>
    <row r="17" spans="2:14" s="18" customFormat="1" ht="18.75" customHeight="1" x14ac:dyDescent="0.25">
      <c r="B17" s="37" t="s">
        <v>14</v>
      </c>
      <c r="C17" s="254" t="s">
        <v>15</v>
      </c>
      <c r="D17" s="254"/>
      <c r="E17" s="254"/>
      <c r="F17" s="254"/>
      <c r="G17" s="254"/>
      <c r="H17" s="254"/>
      <c r="I17" s="254"/>
      <c r="J17" s="254"/>
      <c r="K17" s="254"/>
      <c r="L17" s="254"/>
      <c r="M17" s="254"/>
      <c r="N17" s="244"/>
    </row>
    <row r="18" spans="2:14" s="18" customFormat="1" ht="16.5" customHeight="1" x14ac:dyDescent="0.25">
      <c r="B18" s="37" t="s">
        <v>16</v>
      </c>
      <c r="C18" s="254" t="s">
        <v>17</v>
      </c>
      <c r="D18" s="254"/>
      <c r="E18" s="254"/>
      <c r="F18" s="254"/>
      <c r="G18" s="254"/>
      <c r="H18" s="254"/>
      <c r="I18" s="254"/>
      <c r="J18" s="254"/>
      <c r="K18" s="254"/>
      <c r="L18" s="254"/>
      <c r="M18" s="254"/>
      <c r="N18" s="244"/>
    </row>
    <row r="19" spans="2:14" s="18" customFormat="1" ht="17.25" customHeight="1" x14ac:dyDescent="0.25">
      <c r="B19" s="244"/>
      <c r="C19" s="244"/>
      <c r="D19" s="244"/>
      <c r="E19" s="244"/>
      <c r="F19" s="244"/>
      <c r="G19" s="244"/>
      <c r="H19" s="244"/>
      <c r="I19" s="244"/>
      <c r="J19" s="244"/>
      <c r="K19" s="244"/>
      <c r="L19" s="244"/>
      <c r="M19" s="244"/>
      <c r="N19" s="244"/>
    </row>
    <row r="20" spans="2:14" s="18" customFormat="1" ht="125.25" customHeight="1" x14ac:dyDescent="0.5">
      <c r="B20" s="267" t="s">
        <v>18</v>
      </c>
      <c r="C20" s="267"/>
      <c r="D20" s="267"/>
      <c r="E20" s="267"/>
      <c r="F20" s="267"/>
      <c r="G20" s="267"/>
      <c r="H20" s="267"/>
      <c r="I20" s="267"/>
      <c r="J20" s="267"/>
      <c r="K20" s="267"/>
      <c r="L20" s="267"/>
      <c r="M20" s="267"/>
      <c r="N20" s="267"/>
    </row>
    <row r="21" spans="2:14" s="18" customFormat="1" ht="19.5" customHeight="1" x14ac:dyDescent="0.25">
      <c r="B21" s="243"/>
      <c r="C21" s="243"/>
      <c r="D21" s="243"/>
      <c r="E21" s="243"/>
      <c r="F21" s="243"/>
      <c r="G21" s="243"/>
      <c r="H21" s="243"/>
      <c r="I21" s="243"/>
      <c r="J21" s="243"/>
      <c r="K21" s="243"/>
      <c r="L21" s="243"/>
      <c r="M21" s="243"/>
      <c r="N21" s="243"/>
    </row>
    <row r="22" spans="2:14" s="18" customFormat="1" ht="21" customHeight="1" x14ac:dyDescent="0.25">
      <c r="B22" s="280" t="s">
        <v>19</v>
      </c>
      <c r="C22" s="280"/>
      <c r="D22" s="280"/>
      <c r="E22" s="280"/>
      <c r="F22" s="280"/>
      <c r="G22" s="280"/>
      <c r="H22" s="280"/>
      <c r="I22" s="280"/>
      <c r="J22" s="280"/>
      <c r="K22" s="280"/>
      <c r="L22" s="280"/>
      <c r="M22" s="280"/>
      <c r="N22" s="280"/>
    </row>
    <row r="23" spans="2:14" ht="51.75" customHeight="1" x14ac:dyDescent="0.25">
      <c r="B23" s="255" t="s">
        <v>20</v>
      </c>
      <c r="C23" s="256"/>
      <c r="D23" s="256"/>
      <c r="E23" s="256"/>
      <c r="F23" s="256"/>
      <c r="G23" s="256"/>
      <c r="H23" s="256"/>
      <c r="I23" s="256"/>
      <c r="J23" s="256"/>
      <c r="K23" s="256"/>
      <c r="L23" s="256"/>
      <c r="M23" s="256"/>
      <c r="N23" s="257"/>
    </row>
    <row r="24" spans="2:14" ht="60.75" customHeight="1" x14ac:dyDescent="0.25">
      <c r="B24" s="255" t="s">
        <v>21</v>
      </c>
      <c r="C24" s="256"/>
      <c r="D24" s="256"/>
      <c r="E24" s="256"/>
      <c r="F24" s="256"/>
      <c r="G24" s="256"/>
      <c r="H24" s="256"/>
      <c r="I24" s="256"/>
      <c r="J24" s="256"/>
      <c r="K24" s="256"/>
      <c r="L24" s="256"/>
      <c r="M24" s="256"/>
      <c r="N24" s="257"/>
    </row>
    <row r="25" spans="2:14" ht="88.5" customHeight="1" x14ac:dyDescent="0.25">
      <c r="B25" s="255" t="s">
        <v>22</v>
      </c>
      <c r="C25" s="256"/>
      <c r="D25" s="256"/>
      <c r="E25" s="256"/>
      <c r="F25" s="256"/>
      <c r="G25" s="256"/>
      <c r="H25" s="256"/>
      <c r="I25" s="256"/>
      <c r="J25" s="256"/>
      <c r="K25" s="256"/>
      <c r="L25" s="256"/>
      <c r="M25" s="256"/>
      <c r="N25" s="257"/>
    </row>
    <row r="26" spans="2:14" s="55" customFormat="1" ht="96.75" customHeight="1" x14ac:dyDescent="0.25">
      <c r="B26" s="255" t="s">
        <v>23</v>
      </c>
      <c r="C26" s="256"/>
      <c r="D26" s="256"/>
      <c r="E26" s="256"/>
      <c r="F26" s="256"/>
      <c r="G26" s="256"/>
      <c r="H26" s="256"/>
      <c r="I26" s="256"/>
      <c r="J26" s="256"/>
      <c r="K26" s="256"/>
      <c r="L26" s="256"/>
      <c r="M26" s="256"/>
      <c r="N26" s="257"/>
    </row>
    <row r="27" spans="2:14" s="55" customFormat="1" ht="52.5" customHeight="1" x14ac:dyDescent="0.45">
      <c r="B27" s="258" t="s">
        <v>24</v>
      </c>
      <c r="C27" s="259"/>
      <c r="D27" s="259"/>
      <c r="E27" s="259"/>
      <c r="F27" s="259"/>
      <c r="G27" s="259"/>
      <c r="H27" s="259"/>
      <c r="I27" s="259"/>
      <c r="J27" s="259"/>
      <c r="K27" s="259"/>
      <c r="L27" s="259"/>
      <c r="M27" s="259"/>
      <c r="N27" s="260"/>
    </row>
    <row r="28" spans="2:14" ht="58.5" customHeight="1" x14ac:dyDescent="0.45">
      <c r="B28" s="36"/>
      <c r="C28" s="36"/>
      <c r="D28" s="36"/>
      <c r="E28" s="36"/>
      <c r="F28" s="36"/>
      <c r="G28" s="36"/>
      <c r="H28" s="36"/>
      <c r="I28" s="36"/>
      <c r="J28" s="36"/>
      <c r="K28" s="36"/>
      <c r="L28" s="36"/>
      <c r="M28" s="36"/>
      <c r="N28" s="36"/>
    </row>
    <row r="29" spans="2:14" ht="19.5" customHeight="1" x14ac:dyDescent="0.45">
      <c r="C29" s="36"/>
      <c r="D29" s="36"/>
      <c r="E29" s="36"/>
      <c r="F29" s="36"/>
      <c r="G29" s="36"/>
      <c r="H29" s="36"/>
      <c r="I29" s="36"/>
      <c r="J29" s="36"/>
      <c r="K29" s="36"/>
      <c r="L29" s="36"/>
      <c r="M29" s="36"/>
      <c r="N29" s="36"/>
    </row>
    <row r="30" spans="2:14" ht="70.5" customHeight="1" x14ac:dyDescent="0.45"/>
  </sheetData>
  <mergeCells count="21">
    <mergeCell ref="B26:N26"/>
    <mergeCell ref="B27:N27"/>
    <mergeCell ref="A1:O1"/>
    <mergeCell ref="A2:O2"/>
    <mergeCell ref="B9:N9"/>
    <mergeCell ref="B11:N11"/>
    <mergeCell ref="B23:N23"/>
    <mergeCell ref="A3:O3"/>
    <mergeCell ref="A4:O4"/>
    <mergeCell ref="A5:O5"/>
    <mergeCell ref="A6:O6"/>
    <mergeCell ref="A7:O7"/>
    <mergeCell ref="B22:N22"/>
    <mergeCell ref="B20:N20"/>
    <mergeCell ref="B13:N13"/>
    <mergeCell ref="C15:M15"/>
    <mergeCell ref="C16:M16"/>
    <mergeCell ref="C17:M17"/>
    <mergeCell ref="C18:M18"/>
    <mergeCell ref="B24:N24"/>
    <mergeCell ref="B25:N25"/>
  </mergeCells>
  <pageMargins left="0.7" right="0.7" top="0.75" bottom="0.75" header="0.3" footer="0.3"/>
  <pageSetup orientation="portrait" r:id="rId1"/>
  <ignoredErrors>
    <ignoredError sqref="B15:B18"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79998168889431442"/>
  </sheetPr>
  <dimension ref="A1:AD77"/>
  <sheetViews>
    <sheetView showGridLines="0" topLeftCell="B37" zoomScale="80" zoomScaleNormal="80" workbookViewId="0">
      <selection activeCell="B56" sqref="B56"/>
    </sheetView>
  </sheetViews>
  <sheetFormatPr defaultRowHeight="14.25" x14ac:dyDescent="0.45"/>
  <cols>
    <col min="1" max="1" width="7.1328125" customWidth="1"/>
    <col min="2" max="2" width="51.73046875" customWidth="1"/>
    <col min="3" max="3" width="14.59765625" customWidth="1"/>
    <col min="4" max="4" width="23.73046875" customWidth="1"/>
    <col min="5" max="5" width="5.265625" customWidth="1"/>
    <col min="6" max="6" width="6.86328125" customWidth="1"/>
    <col min="7" max="7" width="6" customWidth="1"/>
    <col min="8" max="8" width="17.59765625" customWidth="1"/>
    <col min="9" max="9" width="12.3984375" customWidth="1"/>
    <col min="10" max="10" width="10.59765625" customWidth="1"/>
    <col min="11" max="11" width="9.73046875" customWidth="1"/>
    <col min="12" max="12" width="11.73046875" style="133" customWidth="1"/>
    <col min="13" max="13" width="12" style="133" customWidth="1"/>
    <col min="14" max="14" width="14.1328125" style="133" customWidth="1"/>
    <col min="15" max="15" width="50.1328125" style="134" customWidth="1"/>
    <col min="16" max="16" width="9.1328125" style="134" hidden="1" customWidth="1"/>
    <col min="17" max="17" width="25.86328125" style="134" hidden="1" customWidth="1"/>
    <col min="18" max="18" width="17" style="134" hidden="1" customWidth="1"/>
    <col min="19" max="19" width="14.265625" style="134" hidden="1" customWidth="1"/>
    <col min="20" max="20" width="7.73046875" style="134" hidden="1" customWidth="1"/>
    <col min="21" max="21" width="27.3984375" style="134" hidden="1" customWidth="1"/>
    <col min="22" max="22" width="12" style="134" hidden="1" customWidth="1"/>
    <col min="23" max="23" width="9.1328125" style="134" hidden="1" customWidth="1"/>
    <col min="24" max="28" width="9.1328125" style="134" customWidth="1"/>
    <col min="29" max="29" width="9.1328125" style="49" customWidth="1"/>
    <col min="30" max="32" width="9.1328125" customWidth="1"/>
  </cols>
  <sheetData>
    <row r="1" spans="1:30" s="16" customFormat="1" ht="26.25" x14ac:dyDescent="0.4">
      <c r="A1" s="319" t="s">
        <v>25</v>
      </c>
      <c r="B1" s="319"/>
      <c r="C1" s="319"/>
      <c r="D1" s="319"/>
      <c r="E1" s="319"/>
      <c r="F1" s="319"/>
      <c r="G1" s="319"/>
      <c r="H1" s="319"/>
      <c r="I1" s="319"/>
      <c r="J1" s="319"/>
      <c r="K1" s="319"/>
      <c r="L1" s="319"/>
      <c r="M1" s="319"/>
      <c r="N1" s="319"/>
      <c r="O1" s="202"/>
      <c r="P1" s="132"/>
      <c r="Q1" s="132"/>
      <c r="R1" s="132"/>
      <c r="S1" s="132"/>
      <c r="T1" s="132"/>
      <c r="U1" s="132"/>
      <c r="V1" s="132"/>
      <c r="W1" s="132"/>
      <c r="X1" s="132"/>
      <c r="Y1" s="132"/>
      <c r="Z1" s="132"/>
      <c r="AA1" s="132"/>
      <c r="AB1" s="132"/>
      <c r="AC1" s="94"/>
      <c r="AD1" s="52"/>
    </row>
    <row r="2" spans="1:30" ht="15" x14ac:dyDescent="0.25">
      <c r="O2" s="133"/>
      <c r="AD2" s="53"/>
    </row>
    <row r="3" spans="1:30" s="14" customFormat="1" ht="20.25" customHeight="1" x14ac:dyDescent="0.3">
      <c r="A3" s="281" t="s">
        <v>26</v>
      </c>
      <c r="B3" s="281"/>
      <c r="C3" s="281"/>
      <c r="D3" s="281"/>
      <c r="E3" s="281"/>
      <c r="F3" s="281"/>
      <c r="G3" s="281"/>
      <c r="H3" s="281"/>
      <c r="I3" s="281"/>
      <c r="J3" s="281"/>
      <c r="K3" s="281"/>
      <c r="L3" s="281"/>
      <c r="M3" s="281"/>
      <c r="N3" s="281"/>
      <c r="O3" s="203"/>
      <c r="P3" s="135"/>
      <c r="Q3" s="135"/>
      <c r="R3" s="135"/>
      <c r="S3" s="135"/>
      <c r="T3" s="135"/>
      <c r="U3" s="135"/>
      <c r="V3" s="135"/>
      <c r="W3" s="135"/>
      <c r="X3" s="135"/>
      <c r="Y3" s="135"/>
      <c r="Z3" s="135"/>
      <c r="AA3" s="135"/>
      <c r="AB3" s="135"/>
      <c r="AC3" s="51"/>
      <c r="AD3" s="54"/>
    </row>
    <row r="4" spans="1:30" s="13" customFormat="1" ht="41.25" customHeight="1" x14ac:dyDescent="0.25">
      <c r="A4" s="198" t="s">
        <v>27</v>
      </c>
      <c r="B4" s="199"/>
      <c r="C4" s="199"/>
      <c r="D4" s="199"/>
      <c r="E4" s="199"/>
      <c r="F4" s="198" t="s">
        <v>28</v>
      </c>
      <c r="G4" s="199"/>
      <c r="H4" s="199"/>
      <c r="I4" s="199"/>
      <c r="J4" s="199"/>
      <c r="K4" s="199"/>
      <c r="L4" s="200"/>
      <c r="M4" s="200"/>
      <c r="N4" s="200"/>
      <c r="P4" s="134"/>
      <c r="Q4" s="134"/>
      <c r="R4" s="134"/>
      <c r="S4" s="134"/>
      <c r="T4" s="134"/>
      <c r="U4" s="134"/>
      <c r="V4" s="134"/>
      <c r="W4" s="134"/>
      <c r="X4" s="134"/>
      <c r="Y4" s="134"/>
      <c r="Z4" s="134"/>
      <c r="AA4" s="134"/>
      <c r="AB4" s="134"/>
      <c r="AC4" s="49"/>
      <c r="AD4" s="53"/>
    </row>
    <row r="5" spans="1:30" ht="37.5" customHeight="1" x14ac:dyDescent="0.25">
      <c r="A5" s="214" t="s">
        <v>29</v>
      </c>
      <c r="B5" s="201"/>
      <c r="C5" s="201"/>
      <c r="D5" s="201"/>
      <c r="E5" s="201"/>
      <c r="F5" s="201"/>
      <c r="G5" s="201"/>
      <c r="H5" s="201"/>
      <c r="I5" s="201"/>
      <c r="J5" s="201"/>
      <c r="K5" s="201"/>
      <c r="L5" s="200"/>
      <c r="M5" s="200"/>
      <c r="N5" s="200"/>
      <c r="O5" s="133"/>
      <c r="AD5" s="53"/>
    </row>
    <row r="6" spans="1:30" ht="15" x14ac:dyDescent="0.25">
      <c r="A6" s="201"/>
      <c r="B6" s="201"/>
      <c r="C6" s="201"/>
      <c r="D6" s="201"/>
      <c r="E6" s="201"/>
      <c r="F6" s="201"/>
      <c r="G6" s="201"/>
      <c r="H6" s="201"/>
      <c r="I6" s="201"/>
      <c r="J6" s="201"/>
      <c r="K6" s="201"/>
      <c r="L6" s="200"/>
      <c r="M6" s="200"/>
      <c r="N6" s="200"/>
      <c r="O6" s="133"/>
      <c r="AD6" s="53"/>
    </row>
    <row r="7" spans="1:30" ht="41.25" customHeight="1" x14ac:dyDescent="0.25">
      <c r="A7" s="323" t="str">
        <f>IF(S8=3, "Please enter a retrofit factor equal to or greater than  0.84 based on the level of difficulty.  Enter 1 for projects of average retrofit difficulty.", " ")</f>
        <v>Please enter a retrofit factor equal to or greater than  0.84 based on the level of difficulty.  Enter 1 for projects of average retrofit difficulty.</v>
      </c>
      <c r="B7" s="323"/>
      <c r="C7" s="323"/>
      <c r="D7" s="224">
        <v>1</v>
      </c>
      <c r="E7" s="324" t="str">
        <f>IF(D7&gt;1, "* NOTE: You must document why a retrofit factor of "&amp;D7&amp;" is appropriate for the proposed project.", " ")</f>
        <v xml:space="preserve"> </v>
      </c>
      <c r="F7" s="324"/>
      <c r="G7" s="324"/>
      <c r="H7" s="324"/>
      <c r="I7" s="324"/>
      <c r="J7" s="201"/>
      <c r="K7" s="201"/>
      <c r="L7" s="200"/>
      <c r="M7" s="200"/>
      <c r="N7" s="200"/>
      <c r="O7" s="133"/>
      <c r="Q7" s="134" t="s">
        <v>30</v>
      </c>
      <c r="AD7" s="53"/>
    </row>
    <row r="8" spans="1:30" ht="38.25" customHeight="1" x14ac:dyDescent="0.25">
      <c r="A8" s="12" t="s">
        <v>31</v>
      </c>
      <c r="C8" s="8"/>
      <c r="D8" s="8"/>
      <c r="E8" s="8"/>
      <c r="F8" s="8"/>
      <c r="G8" s="8"/>
      <c r="H8" s="8"/>
      <c r="I8" s="8"/>
      <c r="J8" s="8"/>
      <c r="K8" s="8"/>
      <c r="O8"/>
      <c r="P8" s="192">
        <v>2</v>
      </c>
      <c r="Q8" s="134" t="s">
        <v>32</v>
      </c>
      <c r="R8" s="134" t="s">
        <v>33</v>
      </c>
      <c r="S8" s="193">
        <v>3</v>
      </c>
      <c r="AD8" s="53"/>
    </row>
    <row r="9" spans="1:30" ht="28.5" customHeight="1" x14ac:dyDescent="0.25">
      <c r="F9" s="182" t="s">
        <v>34</v>
      </c>
      <c r="G9" s="183"/>
      <c r="H9" s="183"/>
      <c r="I9" s="183"/>
      <c r="J9" s="183"/>
      <c r="K9" s="183"/>
      <c r="L9" s="183"/>
      <c r="M9" s="183"/>
      <c r="N9" s="172"/>
      <c r="O9" s="133"/>
      <c r="Q9" s="134" t="s">
        <v>35</v>
      </c>
      <c r="R9" s="134" t="s">
        <v>36</v>
      </c>
      <c r="AD9" s="53"/>
    </row>
    <row r="10" spans="1:30" ht="20.25" customHeight="1" x14ac:dyDescent="0.25">
      <c r="B10" s="64" t="s">
        <v>37</v>
      </c>
      <c r="C10" s="81">
        <v>558</v>
      </c>
      <c r="D10" s="82" t="s">
        <v>38</v>
      </c>
      <c r="F10" s="88" t="s">
        <v>39</v>
      </c>
      <c r="N10" s="136"/>
      <c r="O10" s="133"/>
      <c r="Q10" s="194"/>
      <c r="T10" s="134" t="s">
        <v>40</v>
      </c>
      <c r="V10" s="195">
        <f>((I12/100)*(64/32)*1000000)/C12</f>
        <v>0.92907319283933809</v>
      </c>
      <c r="AD10" s="53"/>
    </row>
    <row r="11" spans="1:30" ht="15" x14ac:dyDescent="0.25">
      <c r="B11" s="315" t="s">
        <v>30</v>
      </c>
      <c r="C11" s="315"/>
      <c r="D11" s="315"/>
      <c r="F11" s="2"/>
      <c r="N11" s="136"/>
      <c r="O11" s="133"/>
      <c r="Q11" s="194" t="s">
        <v>41</v>
      </c>
      <c r="R11" s="134" t="s">
        <v>42</v>
      </c>
      <c r="T11" s="134" t="s">
        <v>43</v>
      </c>
      <c r="V11" s="134">
        <f>IF(I12="",P12,(IF(V10&lt;3,2,(IF(OR(V10&gt;3,V10=3),3)))))</f>
        <v>2</v>
      </c>
      <c r="AD11" s="53"/>
    </row>
    <row r="12" spans="1:30" ht="18.75" customHeight="1" x14ac:dyDescent="0.6">
      <c r="B12" t="s">
        <v>44</v>
      </c>
      <c r="C12" s="79">
        <v>8826</v>
      </c>
      <c r="D12" s="83" t="s">
        <v>45</v>
      </c>
      <c r="F12" s="330" t="s">
        <v>46</v>
      </c>
      <c r="G12" s="331"/>
      <c r="H12" s="331"/>
      <c r="I12" s="173">
        <v>0.41</v>
      </c>
      <c r="J12" s="296" t="s">
        <v>47</v>
      </c>
      <c r="K12" s="296"/>
      <c r="N12" s="136"/>
      <c r="O12" s="133"/>
      <c r="P12" s="192">
        <v>2</v>
      </c>
      <c r="Q12" s="194" t="s">
        <v>48</v>
      </c>
      <c r="R12" s="134" t="s">
        <v>49</v>
      </c>
      <c r="S12" s="192">
        <v>3</v>
      </c>
      <c r="T12" s="192"/>
      <c r="AD12" s="53"/>
    </row>
    <row r="13" spans="1:30" ht="36" customHeight="1" x14ac:dyDescent="0.25">
      <c r="A13" s="1"/>
      <c r="B13" s="327" t="str">
        <f>IF(C12=R21,"*HHV is the weighted average value calculated using the values entered in the coal blend composition table.",(IF(OR(C12=C74,C12=1033,C12=11814,C12=6534,C12=8730,C12=141468),"*HHV value of "&amp;C12&amp;" "&amp;D12&amp;" is a default value. See below for data source. Enter actual HHV for fuel burned, if known. "," ")))</f>
        <v xml:space="preserve">*HHV value of 8826 Btu/lb is a default value. See below for data source. Enter actual HHV for fuel burned, if known. </v>
      </c>
      <c r="C13" s="327"/>
      <c r="D13" s="327"/>
      <c r="E13" s="75"/>
      <c r="F13" s="293" t="s">
        <v>50</v>
      </c>
      <c r="G13" s="294"/>
      <c r="H13" s="294"/>
      <c r="I13" s="295"/>
      <c r="N13" s="136"/>
      <c r="Q13" s="134" t="s">
        <v>51</v>
      </c>
      <c r="R13" s="134" t="s">
        <v>52</v>
      </c>
      <c r="AD13" s="53"/>
    </row>
    <row r="14" spans="1:30" ht="32.25" customHeight="1" x14ac:dyDescent="0.25">
      <c r="A14" s="1"/>
      <c r="B14" s="162" t="s">
        <v>53</v>
      </c>
      <c r="C14" s="79">
        <v>2797891.9233333301</v>
      </c>
      <c r="D14" s="80" t="s">
        <v>54</v>
      </c>
      <c r="F14" s="2"/>
      <c r="G14" s="299" t="str">
        <f>IF(OR(P17=1,P17&gt;2,P12=1,I12=" ")," ",(IF(OR(I12=C72,I12=0.82,I12=0.41,I12=1.84),"*The sulfur content of "&amp;I12&amp;"% is a default value. See below for data source. Enter actual value, if known.",(IF(AND(V11=3,P12=2),"*Error! Based on the %S value entered, the sulfur dioxide emission rate is ≥ 3 lb/MMBtu. Please correct sulfur content or emission rate, as appropriate.",(IF(AND(V11=2,P12=3),"Error! Based on the %S value entered, the sulfur dioxide emission rate is &lt; 3 lb/MMBtu. Please correct sulfur content or emission rate, as appropriate."," ")))))))</f>
        <v>*The sulfur content of 0.41% is a default value. See below for data source. Enter actual value, if known.</v>
      </c>
      <c r="H14" s="299"/>
      <c r="I14" s="299"/>
      <c r="J14" s="299"/>
      <c r="K14" s="299"/>
      <c r="L14" s="299"/>
      <c r="M14" s="178"/>
      <c r="N14" s="137"/>
      <c r="R14" s="134" t="s">
        <v>55</v>
      </c>
      <c r="AD14" s="53"/>
    </row>
    <row r="15" spans="1:30" ht="16.5" customHeight="1" x14ac:dyDescent="0.25">
      <c r="C15" t="s">
        <v>30</v>
      </c>
      <c r="F15" s="325" t="s">
        <v>56</v>
      </c>
      <c r="G15" s="326"/>
      <c r="H15" s="326"/>
      <c r="I15" s="174">
        <v>5.84</v>
      </c>
      <c r="J15" s="302" t="s">
        <v>47</v>
      </c>
      <c r="K15" s="302"/>
      <c r="L15" s="138"/>
      <c r="N15" s="136"/>
      <c r="R15" s="134" t="s">
        <v>51</v>
      </c>
      <c r="AD15" s="53"/>
    </row>
    <row r="16" spans="1:30" ht="35.25" customHeight="1" x14ac:dyDescent="0.25">
      <c r="B16" s="17" t="s">
        <v>57</v>
      </c>
      <c r="F16" s="2"/>
      <c r="G16" s="298" t="str">
        <f>IF(OR(I15=C73, I15=9.23,I15=5.84,I15=13.6),"*The ash content of "&amp;I15&amp;"% is a default value. See below for data source. Enter actual value, if known."," ")</f>
        <v>*The ash content of 5.84% is a default value. See below for data source. Enter actual value, if known.</v>
      </c>
      <c r="H16" s="298"/>
      <c r="I16" s="298"/>
      <c r="J16" s="298"/>
      <c r="K16" s="298"/>
      <c r="L16" s="298"/>
      <c r="N16" s="136"/>
      <c r="Q16" s="134" t="s">
        <v>58</v>
      </c>
      <c r="AD16" s="53"/>
    </row>
    <row r="17" spans="1:30" ht="27.75" customHeight="1" x14ac:dyDescent="0.25">
      <c r="F17" s="305" t="s">
        <v>59</v>
      </c>
      <c r="G17" s="306"/>
      <c r="H17" s="306"/>
      <c r="I17" s="306"/>
      <c r="J17" s="306"/>
      <c r="K17" s="306"/>
      <c r="L17" s="306"/>
      <c r="M17" s="306"/>
      <c r="N17" s="307"/>
      <c r="P17" s="192">
        <v>2</v>
      </c>
      <c r="Q17" s="134" t="s">
        <v>60</v>
      </c>
      <c r="AD17" s="53"/>
    </row>
    <row r="18" spans="1:30" ht="48" customHeight="1" x14ac:dyDescent="0.25">
      <c r="B18" s="55" t="s">
        <v>61</v>
      </c>
      <c r="C18" s="157">
        <v>10</v>
      </c>
      <c r="D18" s="158" t="s">
        <v>62</v>
      </c>
      <c r="F18" s="2"/>
      <c r="G18" s="308" t="s">
        <v>63</v>
      </c>
      <c r="H18" s="308"/>
      <c r="I18" s="308"/>
      <c r="J18" s="308"/>
      <c r="K18" s="308"/>
      <c r="L18" s="308"/>
      <c r="M18" s="308"/>
      <c r="N18" s="136"/>
      <c r="Q18" s="134" t="s">
        <v>64</v>
      </c>
      <c r="AD18" s="53"/>
    </row>
    <row r="19" spans="1:30" ht="13.5" customHeight="1" thickBot="1" x14ac:dyDescent="0.3">
      <c r="F19" s="236"/>
      <c r="G19" s="311" t="s">
        <v>65</v>
      </c>
      <c r="H19" s="312"/>
      <c r="I19" s="312"/>
      <c r="J19" s="312"/>
      <c r="K19" s="312"/>
      <c r="L19" s="312"/>
      <c r="M19" s="312"/>
      <c r="N19" s="136"/>
      <c r="AD19" s="53"/>
    </row>
    <row r="20" spans="1:30" ht="30.75" thickTop="1" x14ac:dyDescent="0.25">
      <c r="C20" t="s">
        <v>30</v>
      </c>
      <c r="F20" s="2"/>
      <c r="G20" s="235"/>
      <c r="H20" s="6"/>
      <c r="I20" s="237" t="s">
        <v>66</v>
      </c>
      <c r="J20" s="238" t="s">
        <v>67</v>
      </c>
      <c r="K20" s="238" t="s">
        <v>68</v>
      </c>
      <c r="L20" s="237" t="s">
        <v>69</v>
      </c>
      <c r="M20" s="237" t="s">
        <v>70</v>
      </c>
      <c r="N20" s="180"/>
      <c r="P20" s="195"/>
      <c r="AD20" s="53"/>
    </row>
    <row r="21" spans="1:30" ht="15" x14ac:dyDescent="0.25">
      <c r="B21" t="s">
        <v>71</v>
      </c>
      <c r="C21" s="77" t="s">
        <v>72</v>
      </c>
      <c r="D21" s="163" t="s">
        <v>73</v>
      </c>
      <c r="F21" s="2"/>
      <c r="G21" s="320" t="s">
        <v>42</v>
      </c>
      <c r="H21" s="320"/>
      <c r="I21" s="239">
        <v>0</v>
      </c>
      <c r="J21" s="240">
        <v>1.84</v>
      </c>
      <c r="K21" s="239">
        <v>9.23</v>
      </c>
      <c r="L21" s="241">
        <v>11841</v>
      </c>
      <c r="M21" s="239">
        <v>2.4</v>
      </c>
      <c r="N21" s="181"/>
      <c r="R21" s="134">
        <v>10500</v>
      </c>
    </row>
    <row r="22" spans="1:30" ht="15" x14ac:dyDescent="0.25">
      <c r="C22" s="9" t="s">
        <v>58</v>
      </c>
      <c r="D22" s="164" t="s">
        <v>74</v>
      </c>
      <c r="F22" s="2"/>
      <c r="G22" s="321" t="s">
        <v>49</v>
      </c>
      <c r="H22" s="321"/>
      <c r="I22" s="239">
        <v>0</v>
      </c>
      <c r="J22" s="242">
        <v>0.41</v>
      </c>
      <c r="K22" s="239">
        <v>5.84</v>
      </c>
      <c r="L22" s="241">
        <v>8826</v>
      </c>
      <c r="M22" s="239">
        <v>1.89</v>
      </c>
      <c r="N22" s="181"/>
    </row>
    <row r="23" spans="1:30" ht="15" x14ac:dyDescent="0.25">
      <c r="C23" s="9" t="s">
        <v>60</v>
      </c>
      <c r="D23" s="165" t="s">
        <v>75</v>
      </c>
      <c r="F23" s="2"/>
      <c r="G23" s="321" t="s">
        <v>52</v>
      </c>
      <c r="H23" s="321"/>
      <c r="I23" s="239">
        <v>0</v>
      </c>
      <c r="J23" s="242">
        <v>0.82</v>
      </c>
      <c r="K23" s="239">
        <v>13.6</v>
      </c>
      <c r="L23" s="241">
        <v>6626</v>
      </c>
      <c r="M23" s="239">
        <v>1.74</v>
      </c>
      <c r="N23" s="181"/>
      <c r="AD23" s="53"/>
    </row>
    <row r="24" spans="1:30" ht="15" x14ac:dyDescent="0.25">
      <c r="C24" s="10" t="s">
        <v>64</v>
      </c>
      <c r="D24" s="166" t="s">
        <v>76</v>
      </c>
      <c r="F24" s="2"/>
      <c r="N24" s="136"/>
      <c r="AD24" s="53"/>
    </row>
    <row r="25" spans="1:30" ht="51.75" customHeight="1" x14ac:dyDescent="0.25">
      <c r="E25" s="247"/>
      <c r="F25" s="246"/>
      <c r="G25" s="322" t="s">
        <v>77</v>
      </c>
      <c r="H25" s="322"/>
      <c r="I25" s="322"/>
      <c r="J25" s="322"/>
      <c r="N25" s="136"/>
      <c r="P25" s="192">
        <v>3</v>
      </c>
      <c r="Q25" s="134" t="s">
        <v>78</v>
      </c>
      <c r="AD25" s="53"/>
    </row>
    <row r="26" spans="1:30" ht="15" x14ac:dyDescent="0.25">
      <c r="E26" s="247"/>
      <c r="F26" s="246"/>
      <c r="N26" s="136"/>
      <c r="P26" s="134" t="s">
        <v>79</v>
      </c>
      <c r="Q26" s="134" t="s">
        <v>80</v>
      </c>
      <c r="AD26" s="53"/>
    </row>
    <row r="27" spans="1:30" ht="15" x14ac:dyDescent="0.25">
      <c r="E27" s="247"/>
      <c r="F27" s="167"/>
      <c r="G27" s="6"/>
      <c r="H27" s="6"/>
      <c r="I27" s="6"/>
      <c r="J27" s="6"/>
      <c r="K27" s="6"/>
      <c r="L27" s="139"/>
      <c r="M27" s="139"/>
      <c r="N27" s="140"/>
      <c r="AD27" s="53"/>
    </row>
    <row r="28" spans="1:30" ht="15.75" x14ac:dyDescent="0.25">
      <c r="S28" s="141"/>
      <c r="T28" s="141"/>
      <c r="AD28" s="53"/>
    </row>
    <row r="29" spans="1:30" s="14" customFormat="1" ht="18.75" x14ac:dyDescent="0.3">
      <c r="A29" s="281" t="s">
        <v>81</v>
      </c>
      <c r="B29" s="281"/>
      <c r="C29" s="281"/>
      <c r="D29" s="281"/>
      <c r="E29" s="281"/>
      <c r="F29" s="281"/>
      <c r="G29" s="281"/>
      <c r="H29" s="281"/>
      <c r="I29" s="281"/>
      <c r="J29" s="281"/>
      <c r="K29" s="281"/>
      <c r="L29" s="281"/>
      <c r="M29" s="281"/>
      <c r="N29" s="281"/>
      <c r="O29" s="281"/>
      <c r="P29" s="135"/>
      <c r="Q29" s="135"/>
      <c r="R29" s="134"/>
      <c r="S29" s="135"/>
      <c r="T29" s="134"/>
      <c r="U29" s="196"/>
      <c r="V29" s="197"/>
      <c r="W29" s="135"/>
      <c r="X29" s="135"/>
      <c r="Y29" s="135"/>
      <c r="Z29" s="135"/>
      <c r="AA29" s="135"/>
      <c r="AB29" s="135"/>
      <c r="AC29" s="51"/>
      <c r="AD29" s="54"/>
    </row>
    <row r="30" spans="1:30" ht="15.75" x14ac:dyDescent="0.25">
      <c r="R30" s="196"/>
      <c r="U30" s="196"/>
      <c r="V30" s="192"/>
      <c r="AD30" s="53"/>
    </row>
    <row r="31" spans="1:30" ht="31.5" customHeight="1" x14ac:dyDescent="0.25">
      <c r="B31" s="55" t="s">
        <v>82</v>
      </c>
      <c r="C31" s="157">
        <v>288</v>
      </c>
      <c r="D31" s="158" t="s">
        <v>83</v>
      </c>
      <c r="G31" s="296" t="s">
        <v>84</v>
      </c>
      <c r="H31" s="296"/>
      <c r="I31" s="157">
        <v>250</v>
      </c>
      <c r="J31" s="300" t="s">
        <v>85</v>
      </c>
      <c r="K31" s="301"/>
      <c r="R31" s="196"/>
      <c r="U31" s="196"/>
      <c r="V31" s="192"/>
      <c r="AD31" s="53"/>
    </row>
    <row r="32" spans="1:30" ht="31.5" customHeight="1" x14ac:dyDescent="0.25">
      <c r="B32" s="55" t="s">
        <v>86</v>
      </c>
      <c r="C32" s="157">
        <v>288</v>
      </c>
      <c r="D32" s="158" t="s">
        <v>83</v>
      </c>
      <c r="G32" s="248"/>
      <c r="H32" s="248"/>
      <c r="I32" s="232"/>
      <c r="J32" s="231"/>
      <c r="K32" s="231"/>
      <c r="R32" s="196"/>
      <c r="U32" s="196"/>
      <c r="V32" s="192"/>
      <c r="AD32" s="53"/>
    </row>
    <row r="33" spans="1:30" ht="29.25" customHeight="1" x14ac:dyDescent="0.25">
      <c r="B33" s="55" t="s">
        <v>87</v>
      </c>
      <c r="C33" s="157">
        <v>0.186</v>
      </c>
      <c r="D33" s="158" t="s">
        <v>88</v>
      </c>
      <c r="R33" s="196"/>
      <c r="U33" s="196"/>
      <c r="AD33" s="53"/>
    </row>
    <row r="34" spans="1:30" ht="15.75" x14ac:dyDescent="0.5">
      <c r="B34" s="55" t="s">
        <v>89</v>
      </c>
      <c r="C34" s="157">
        <v>0.18</v>
      </c>
      <c r="D34" s="158" t="s">
        <v>88</v>
      </c>
      <c r="E34" s="309" t="str">
        <f>IF(P42=1, "*The NSR for a urea system may be calculated using equation 1.17 in Section 4, Chapter 1 of the Air Pollution Control Cost Manual (as updated April 2019).", " ")</f>
        <v xml:space="preserve"> </v>
      </c>
      <c r="F34" s="310"/>
      <c r="G34" s="310"/>
      <c r="H34" s="310"/>
      <c r="I34" s="310"/>
      <c r="J34" s="310"/>
      <c r="K34" s="310"/>
      <c r="L34" s="310"/>
      <c r="M34" s="310"/>
      <c r="R34" s="196"/>
      <c r="U34" s="196"/>
      <c r="AD34" s="53"/>
    </row>
    <row r="35" spans="1:30" ht="30.75" customHeight="1" x14ac:dyDescent="0.5">
      <c r="B35" s="55" t="s">
        <v>90</v>
      </c>
      <c r="C35" s="209">
        <v>1.05</v>
      </c>
      <c r="D35" s="158"/>
      <c r="E35" s="309"/>
      <c r="F35" s="310"/>
      <c r="G35" s="310"/>
      <c r="H35" s="310"/>
      <c r="I35" s="310"/>
      <c r="J35" s="310"/>
      <c r="K35" s="310"/>
      <c r="L35" s="310"/>
      <c r="M35" s="310"/>
      <c r="R35" s="196"/>
      <c r="U35" s="196"/>
      <c r="AD35" s="53"/>
    </row>
    <row r="36" spans="1:30" ht="15" customHeight="1" x14ac:dyDescent="0.25">
      <c r="R36" s="196"/>
      <c r="U36" s="196"/>
      <c r="AD36" s="53"/>
    </row>
    <row r="37" spans="1:30" ht="18" x14ac:dyDescent="0.35">
      <c r="B37" t="s">
        <v>91</v>
      </c>
      <c r="C37" s="38">
        <v>29</v>
      </c>
      <c r="D37" s="4" t="s">
        <v>92</v>
      </c>
      <c r="E37" s="89"/>
      <c r="R37" s="196"/>
      <c r="U37" s="196"/>
      <c r="AD37" s="53"/>
    </row>
    <row r="38" spans="1:30" ht="15.75" x14ac:dyDescent="0.5">
      <c r="B38" s="55" t="s">
        <v>93</v>
      </c>
      <c r="C38" s="157">
        <v>56</v>
      </c>
      <c r="D38" s="158" t="s">
        <v>94</v>
      </c>
      <c r="E38" s="89"/>
      <c r="R38" s="196"/>
      <c r="U38" s="196"/>
      <c r="AD38" s="53"/>
    </row>
    <row r="39" spans="1:30" ht="18" x14ac:dyDescent="0.35">
      <c r="B39" t="s">
        <v>95</v>
      </c>
      <c r="C39" s="38">
        <v>10</v>
      </c>
      <c r="D39" s="4" t="s">
        <v>96</v>
      </c>
      <c r="H39" s="168" t="s">
        <v>97</v>
      </c>
      <c r="I39" s="169"/>
      <c r="J39" s="169"/>
      <c r="K39" s="170"/>
      <c r="R39" s="196"/>
      <c r="U39" s="196"/>
      <c r="AD39" s="53"/>
    </row>
    <row r="40" spans="1:30" ht="18" x14ac:dyDescent="0.35">
      <c r="B40" t="s">
        <v>98</v>
      </c>
      <c r="C40" s="38">
        <v>14</v>
      </c>
      <c r="D40" s="4" t="s">
        <v>83</v>
      </c>
      <c r="H40" s="303" t="s">
        <v>99</v>
      </c>
      <c r="I40" s="304"/>
      <c r="J40" s="228">
        <v>71</v>
      </c>
      <c r="K40" s="171" t="s">
        <v>100</v>
      </c>
      <c r="R40" s="196"/>
      <c r="U40" s="196"/>
      <c r="AD40" s="53"/>
    </row>
    <row r="41" spans="1:30" ht="18" x14ac:dyDescent="0.25">
      <c r="B41" t="s">
        <v>101</v>
      </c>
      <c r="C41" s="38">
        <v>20</v>
      </c>
      <c r="D41" s="4" t="s">
        <v>102</v>
      </c>
      <c r="E41" s="89"/>
      <c r="H41" s="303" t="s">
        <v>103</v>
      </c>
      <c r="I41" s="304"/>
      <c r="J41" s="228">
        <v>56</v>
      </c>
      <c r="K41" s="171" t="s">
        <v>100</v>
      </c>
      <c r="P41" s="134">
        <v>1</v>
      </c>
      <c r="Q41" s="134" t="s">
        <v>104</v>
      </c>
      <c r="R41" s="196"/>
      <c r="U41" s="196"/>
      <c r="AD41" s="53"/>
    </row>
    <row r="42" spans="1:30" ht="15.75" x14ac:dyDescent="0.25">
      <c r="C42" s="42"/>
      <c r="H42" s="313"/>
      <c r="I42" s="314"/>
      <c r="J42" s="229"/>
      <c r="K42" s="230"/>
      <c r="P42" s="192">
        <v>2</v>
      </c>
      <c r="Q42" s="134" t="s">
        <v>105</v>
      </c>
      <c r="R42" s="196"/>
      <c r="U42" s="196"/>
      <c r="AD42" s="53"/>
    </row>
    <row r="43" spans="1:30" ht="15" x14ac:dyDescent="0.25">
      <c r="B43" s="17" t="s">
        <v>106</v>
      </c>
      <c r="H43" s="227"/>
      <c r="I43" s="227"/>
      <c r="J43" s="227"/>
      <c r="K43" s="227"/>
      <c r="L43" s="225"/>
      <c r="S43" s="194"/>
      <c r="T43" s="194"/>
      <c r="AD43" s="53"/>
    </row>
    <row r="44" spans="1:30" ht="15" x14ac:dyDescent="0.25">
      <c r="H44" s="226"/>
      <c r="I44" s="226"/>
      <c r="J44" s="226"/>
      <c r="K44" s="226"/>
      <c r="L44" s="225"/>
      <c r="S44" s="194"/>
      <c r="T44" s="194"/>
      <c r="AD44" s="53"/>
    </row>
    <row r="46" spans="1:30" s="14" customFormat="1" ht="18.75" x14ac:dyDescent="0.3">
      <c r="A46" s="281" t="s">
        <v>107</v>
      </c>
      <c r="B46" s="281"/>
      <c r="C46" s="281"/>
      <c r="D46" s="281"/>
      <c r="E46" s="281"/>
      <c r="F46" s="281"/>
      <c r="G46" s="281"/>
      <c r="H46" s="281"/>
      <c r="I46" s="281"/>
      <c r="J46" s="281"/>
      <c r="K46" s="281"/>
      <c r="L46" s="281"/>
      <c r="M46" s="281"/>
      <c r="N46" s="281"/>
      <c r="O46" s="281"/>
      <c r="P46" s="135"/>
      <c r="Q46" s="135"/>
      <c r="R46" s="135"/>
      <c r="S46" s="135"/>
      <c r="T46" s="135"/>
      <c r="U46" s="135"/>
      <c r="V46" s="135"/>
      <c r="W46" s="135"/>
      <c r="X46" s="135"/>
      <c r="Y46" s="135"/>
      <c r="Z46" s="135"/>
      <c r="AA46" s="135"/>
      <c r="AB46" s="135"/>
      <c r="AC46" s="51"/>
      <c r="AD46" s="54"/>
    </row>
    <row r="48" spans="1:30" ht="15" x14ac:dyDescent="0.25">
      <c r="B48" t="s">
        <v>108</v>
      </c>
      <c r="C48" s="38">
        <v>2019</v>
      </c>
      <c r="D48" s="7"/>
      <c r="E48" s="7"/>
      <c r="F48" s="7"/>
      <c r="G48" s="7"/>
      <c r="H48" s="4"/>
      <c r="AD48" s="53"/>
    </row>
    <row r="49" spans="1:30" ht="15" x14ac:dyDescent="0.25">
      <c r="B49" t="str">
        <f>"CEPCI for " &amp; C48</f>
        <v>CEPCI for 2019</v>
      </c>
      <c r="C49" s="38">
        <v>607.5</v>
      </c>
      <c r="D49" s="216" t="str">
        <f>IF(C48=2016," ","Enter the CEPCI value for "&amp;C48)</f>
        <v>Enter the CEPCI value for 2019</v>
      </c>
      <c r="E49" s="7"/>
      <c r="F49" s="233">
        <v>541.70000000000005</v>
      </c>
      <c r="G49" s="76" t="s">
        <v>109</v>
      </c>
      <c r="H49" s="4"/>
      <c r="I49" t="s">
        <v>110</v>
      </c>
      <c r="AD49" s="53"/>
    </row>
    <row r="50" spans="1:30" ht="36" customHeight="1" x14ac:dyDescent="0.25">
      <c r="B50" t="s">
        <v>111</v>
      </c>
      <c r="C50" s="38">
        <v>7</v>
      </c>
      <c r="D50" s="7" t="str">
        <f>IF(C50=3.25, "Percent*", "Percent")</f>
        <v>Percent</v>
      </c>
      <c r="E50" s="7"/>
      <c r="F50" s="7"/>
      <c r="G50" s="7"/>
      <c r="H50" s="4"/>
      <c r="I50" s="284" t="str">
        <f>IF(C50=3.25,"* 3.25 percent is the default bank prime rate. User should enter current bank prime rate (available at https://www.federalreserve.gov/releases/h15/.)"," ")</f>
        <v xml:space="preserve"> </v>
      </c>
      <c r="J50" s="285"/>
      <c r="K50" s="285"/>
      <c r="L50" s="285"/>
      <c r="M50" s="285"/>
      <c r="N50" s="285"/>
      <c r="AD50" s="53"/>
    </row>
    <row r="51" spans="1:30" ht="18" x14ac:dyDescent="0.35">
      <c r="B51" t="s">
        <v>112</v>
      </c>
      <c r="C51" s="39">
        <v>1.89</v>
      </c>
      <c r="D51" s="7" t="str">
        <f>"$/MMBtu"&amp;(IF(OR(C51=C70,C51=5.14,C51=20.01, C51=2.79,C51=2.04, C51=1.85),"*"," "))</f>
        <v>$/MMBtu*</v>
      </c>
      <c r="E51" s="7"/>
      <c r="F51" s="7"/>
      <c r="G51" s="7"/>
      <c r="H51" s="4"/>
      <c r="AD51" s="53"/>
    </row>
    <row r="52" spans="1:30" ht="18" x14ac:dyDescent="0.35">
      <c r="B52" t="s">
        <v>113</v>
      </c>
      <c r="C52" s="39">
        <v>0.29299999999999998</v>
      </c>
      <c r="D52" s="7" t="str">
        <f>"$/gallon for a "&amp;C37&amp;" percent solution of "&amp;(IF(P42=1,"urea",(IF(P42=2,"ammonia", " "))))&amp;(IF(C52=1.66,"*"," "))</f>
        <v xml:space="preserve">$/gallon for a 29 percent solution of ammonia </v>
      </c>
      <c r="E52" s="7"/>
      <c r="F52" s="7"/>
      <c r="G52" s="7"/>
      <c r="H52" s="4"/>
      <c r="AD52" s="53"/>
    </row>
    <row r="53" spans="1:30" ht="18" x14ac:dyDescent="0.35">
      <c r="B53" t="s">
        <v>114</v>
      </c>
      <c r="C53" s="40">
        <v>4.1700000000000001E-3</v>
      </c>
      <c r="D53" s="7" t="str">
        <f>"$/gallon"&amp;(IF(C53=0.00417, "*"," "))</f>
        <v>$/gallon*</v>
      </c>
      <c r="E53" s="7"/>
      <c r="F53" s="7"/>
      <c r="G53" s="7"/>
      <c r="H53" s="4"/>
      <c r="AD53" s="53"/>
    </row>
    <row r="54" spans="1:30" ht="18" x14ac:dyDescent="0.35">
      <c r="B54" t="s">
        <v>115</v>
      </c>
      <c r="C54" s="159">
        <v>3.61E-2</v>
      </c>
      <c r="D54" s="7" t="str">
        <f>"$/kWh"&amp;(IF(OR(C54=0.0676, C54=0.0361), "*"," "))</f>
        <v>$/kWh*</v>
      </c>
      <c r="E54" s="7"/>
      <c r="F54" s="7"/>
      <c r="G54" s="7"/>
      <c r="H54" s="4"/>
      <c r="AD54" s="53"/>
    </row>
    <row r="55" spans="1:30" ht="18" x14ac:dyDescent="0.35">
      <c r="B55" t="s">
        <v>116</v>
      </c>
      <c r="C55" s="175">
        <v>48.8</v>
      </c>
      <c r="D55" s="6" t="str">
        <f>"$/ton"&amp;(IF(C55=48.8, "*",""))</f>
        <v>$/ton*</v>
      </c>
      <c r="E55" s="6"/>
      <c r="F55" s="6"/>
      <c r="G55" s="6"/>
      <c r="H55" s="3"/>
      <c r="AD55" s="53"/>
    </row>
    <row r="56" spans="1:30" ht="31.5" customHeight="1" x14ac:dyDescent="0.25">
      <c r="C56" s="297" t="s">
        <v>30</v>
      </c>
      <c r="D56" s="297"/>
      <c r="E56" s="297"/>
      <c r="F56" s="297"/>
      <c r="G56" s="297"/>
      <c r="H56" s="297"/>
      <c r="AD56" s="53"/>
    </row>
    <row r="57" spans="1:30" ht="35.25" customHeight="1" x14ac:dyDescent="0.25">
      <c r="B57" s="308" t="s">
        <v>117</v>
      </c>
      <c r="C57" s="308"/>
      <c r="D57" s="308"/>
      <c r="E57" s="308"/>
      <c r="F57" s="308"/>
      <c r="G57" s="308"/>
      <c r="H57" s="308"/>
      <c r="I57" s="308"/>
      <c r="J57" s="308"/>
      <c r="K57" s="308"/>
      <c r="L57" s="308"/>
      <c r="M57" s="308"/>
      <c r="N57" s="245"/>
    </row>
    <row r="59" spans="1:30" s="14" customFormat="1" ht="18.75" x14ac:dyDescent="0.3">
      <c r="A59" s="281" t="s">
        <v>118</v>
      </c>
      <c r="B59" s="281"/>
      <c r="C59" s="281"/>
      <c r="D59" s="281"/>
      <c r="E59" s="281"/>
      <c r="F59" s="281"/>
      <c r="G59" s="281"/>
      <c r="H59" s="281"/>
      <c r="I59" s="281"/>
      <c r="J59" s="281"/>
      <c r="K59" s="281"/>
      <c r="L59" s="281"/>
      <c r="M59" s="281"/>
      <c r="N59" s="281"/>
      <c r="O59" s="281"/>
      <c r="P59" s="135"/>
      <c r="Q59" s="135"/>
      <c r="R59" s="135"/>
      <c r="S59" s="135"/>
      <c r="T59" s="135"/>
      <c r="U59" s="135"/>
      <c r="V59" s="135"/>
      <c r="W59" s="135"/>
      <c r="X59" s="135"/>
      <c r="Y59" s="135"/>
      <c r="Z59" s="135"/>
      <c r="AA59" s="135"/>
      <c r="AB59" s="135"/>
      <c r="AC59" s="51"/>
      <c r="AD59" s="54"/>
    </row>
    <row r="60" spans="1:30" s="54" customFormat="1" ht="14.25" customHeight="1" x14ac:dyDescent="0.3">
      <c r="A60" s="73"/>
      <c r="B60" s="50"/>
      <c r="C60" s="50">
        <v>1.4999999999999999E-2</v>
      </c>
      <c r="D60" s="50"/>
      <c r="E60" s="50"/>
      <c r="F60" s="50"/>
      <c r="G60" s="50"/>
      <c r="H60" s="50"/>
      <c r="I60" s="50"/>
      <c r="J60" s="50"/>
      <c r="K60" s="50"/>
      <c r="L60" s="135"/>
      <c r="M60" s="135"/>
      <c r="N60" s="135"/>
      <c r="P60" s="135"/>
      <c r="Q60" s="135"/>
      <c r="R60" s="135"/>
      <c r="S60" s="135"/>
      <c r="T60" s="135"/>
      <c r="U60" s="135"/>
      <c r="V60" s="135"/>
      <c r="W60" s="135"/>
      <c r="X60" s="135"/>
      <c r="Y60" s="135"/>
      <c r="Z60" s="135"/>
      <c r="AA60" s="135"/>
      <c r="AB60" s="135"/>
      <c r="AC60" s="51"/>
    </row>
    <row r="61" spans="1:30" ht="15" x14ac:dyDescent="0.25">
      <c r="B61" t="s">
        <v>119</v>
      </c>
      <c r="C61" s="74">
        <v>1.4999999999999999E-2</v>
      </c>
      <c r="D61" s="89" t="str">
        <f>IF(C61&gt;0.015,"*MCF is greater than the IPM default value of 0.015. User must document why the value entered is appropriate.",(IF(C61&lt;0.015,"*MCF is less than the IPM default value of 0.015. User must document why the value entered is appropriate."," ")))</f>
        <v xml:space="preserve"> </v>
      </c>
    </row>
    <row r="62" spans="1:30" ht="15" x14ac:dyDescent="0.25">
      <c r="B62" t="s">
        <v>120</v>
      </c>
      <c r="C62" s="74">
        <v>0.03</v>
      </c>
      <c r="D62" s="89" t="str">
        <f>IF(C62&gt;0.03,"*ACF is greater than the IPM default value of 0.03. User must document why the value entered is appropriate.",(IF(C62&lt;0.03,"*ACF is less than the IPM default value of 0.03. User must document why the value entered is appropriate."," ")))</f>
        <v xml:space="preserve"> </v>
      </c>
    </row>
    <row r="64" spans="1:30" s="18" customFormat="1" ht="18.75" x14ac:dyDescent="0.3">
      <c r="A64" s="281" t="s">
        <v>121</v>
      </c>
      <c r="B64" s="281"/>
      <c r="C64" s="281"/>
      <c r="D64" s="281"/>
      <c r="E64" s="281"/>
      <c r="F64" s="281"/>
      <c r="G64" s="281"/>
      <c r="H64" s="281"/>
      <c r="I64" s="281"/>
      <c r="J64" s="281"/>
      <c r="K64" s="281"/>
      <c r="L64" s="281"/>
      <c r="M64" s="281"/>
      <c r="N64" s="281"/>
      <c r="O64" s="281"/>
      <c r="P64" s="141"/>
      <c r="Q64" s="141"/>
      <c r="R64" s="141"/>
      <c r="S64" s="141"/>
      <c r="T64" s="141"/>
      <c r="U64" s="141"/>
      <c r="V64" s="141"/>
      <c r="W64" s="141"/>
      <c r="X64" s="141"/>
      <c r="Y64" s="141"/>
      <c r="Z64" s="141"/>
      <c r="AA64" s="141"/>
      <c r="AB64" s="141"/>
      <c r="AC64" s="61"/>
    </row>
    <row r="65" spans="2:19" ht="16.5" customHeight="1" x14ac:dyDescent="0.25"/>
    <row r="66" spans="2:19" ht="47.25" customHeight="1" x14ac:dyDescent="0.25">
      <c r="B66" s="90" t="s">
        <v>122</v>
      </c>
      <c r="C66" s="179" t="s">
        <v>123</v>
      </c>
      <c r="D66" s="286" t="s">
        <v>124</v>
      </c>
      <c r="E66" s="286"/>
      <c r="F66" s="286"/>
      <c r="G66" s="286"/>
      <c r="H66" s="286"/>
      <c r="I66" s="286"/>
      <c r="J66" s="291" t="s">
        <v>125</v>
      </c>
      <c r="K66" s="291"/>
      <c r="L66" s="291"/>
      <c r="M66" s="291"/>
      <c r="N66" s="292"/>
      <c r="O66" s="189" t="s">
        <v>126</v>
      </c>
      <c r="P66" s="186"/>
      <c r="Q66" s="186"/>
      <c r="R66" s="186"/>
      <c r="S66" s="186"/>
    </row>
    <row r="67" spans="2:19" ht="91.5" customHeight="1" x14ac:dyDescent="0.25">
      <c r="B67" s="91" t="s">
        <v>127</v>
      </c>
      <c r="C67" s="176" t="s">
        <v>128</v>
      </c>
      <c r="D67" s="287" t="s">
        <v>129</v>
      </c>
      <c r="E67" s="287"/>
      <c r="F67" s="287"/>
      <c r="G67" s="287"/>
      <c r="H67" s="287"/>
      <c r="I67" s="287"/>
      <c r="J67" s="328" t="s">
        <v>30</v>
      </c>
      <c r="K67" s="329"/>
      <c r="L67" s="329"/>
      <c r="M67" s="329"/>
      <c r="N67" s="329"/>
      <c r="O67" s="190" t="s">
        <v>130</v>
      </c>
      <c r="P67" s="187"/>
      <c r="Q67" s="187"/>
      <c r="R67" s="187"/>
      <c r="S67" s="187"/>
    </row>
    <row r="68" spans="2:19" ht="107.25" customHeight="1" x14ac:dyDescent="0.45">
      <c r="B68" s="91" t="s">
        <v>131</v>
      </c>
      <c r="C68" s="220">
        <v>4.1700000000000001E-3</v>
      </c>
      <c r="D68" s="287" t="s">
        <v>132</v>
      </c>
      <c r="E68" s="287"/>
      <c r="F68" s="287"/>
      <c r="G68" s="287"/>
      <c r="H68" s="287"/>
      <c r="I68" s="287"/>
      <c r="J68" s="282" t="s">
        <v>30</v>
      </c>
      <c r="K68" s="282"/>
      <c r="L68" s="282"/>
      <c r="M68" s="282"/>
      <c r="N68" s="283"/>
      <c r="O68" s="191" t="s">
        <v>133</v>
      </c>
      <c r="P68" s="188"/>
      <c r="Q68" s="188"/>
      <c r="R68" s="188"/>
      <c r="S68" s="188"/>
    </row>
    <row r="69" spans="2:19" ht="70.5" customHeight="1" x14ac:dyDescent="0.45">
      <c r="B69" s="91" t="s">
        <v>134</v>
      </c>
      <c r="C69" s="217">
        <v>3.61E-2</v>
      </c>
      <c r="D69" s="283" t="s">
        <v>135</v>
      </c>
      <c r="E69" s="288"/>
      <c r="F69" s="288"/>
      <c r="G69" s="288"/>
      <c r="H69" s="288"/>
      <c r="I69" s="289"/>
      <c r="J69" s="282" t="s">
        <v>30</v>
      </c>
      <c r="K69" s="282"/>
      <c r="L69" s="282"/>
      <c r="M69" s="282"/>
      <c r="N69" s="283"/>
      <c r="O69" s="191" t="s">
        <v>136</v>
      </c>
      <c r="P69" s="188"/>
      <c r="Q69" s="188"/>
      <c r="R69" s="188"/>
      <c r="S69" s="188"/>
    </row>
    <row r="70" spans="2:19" ht="66" customHeight="1" x14ac:dyDescent="0.45">
      <c r="B70" s="92" t="s">
        <v>70</v>
      </c>
      <c r="C70" s="204">
        <v>1.89</v>
      </c>
      <c r="D70" s="283" t="s">
        <v>137</v>
      </c>
      <c r="E70" s="288"/>
      <c r="F70" s="288"/>
      <c r="G70" s="288"/>
      <c r="H70" s="288"/>
      <c r="I70" s="289"/>
      <c r="J70" s="282" t="s">
        <v>30</v>
      </c>
      <c r="K70" s="282"/>
      <c r="L70" s="282"/>
      <c r="M70" s="282"/>
      <c r="N70" s="283"/>
      <c r="O70" s="191" t="s">
        <v>138</v>
      </c>
      <c r="P70" s="188"/>
      <c r="Q70" s="188"/>
      <c r="R70" s="188"/>
      <c r="S70" s="188"/>
    </row>
    <row r="71" spans="2:19" ht="86.25" customHeight="1" x14ac:dyDescent="0.45">
      <c r="B71" s="92" t="s">
        <v>139</v>
      </c>
      <c r="C71" s="184">
        <v>48.8</v>
      </c>
      <c r="D71" s="290" t="s">
        <v>140</v>
      </c>
      <c r="E71" s="290"/>
      <c r="F71" s="290"/>
      <c r="G71" s="290"/>
      <c r="H71" s="290"/>
      <c r="I71" s="290"/>
      <c r="J71" s="282" t="s">
        <v>30</v>
      </c>
      <c r="K71" s="282"/>
      <c r="L71" s="282"/>
      <c r="M71" s="282"/>
      <c r="N71" s="283"/>
      <c r="O71" s="191" t="s">
        <v>141</v>
      </c>
      <c r="P71" s="188"/>
      <c r="Q71" s="188"/>
      <c r="R71" s="188"/>
      <c r="S71" s="188"/>
    </row>
    <row r="72" spans="2:19" ht="74.25" customHeight="1" x14ac:dyDescent="0.45">
      <c r="B72" s="93" t="s">
        <v>142</v>
      </c>
      <c r="C72" s="204">
        <v>0.41</v>
      </c>
      <c r="D72" s="290" t="s">
        <v>143</v>
      </c>
      <c r="E72" s="290"/>
      <c r="F72" s="290"/>
      <c r="G72" s="290"/>
      <c r="H72" s="290"/>
      <c r="I72" s="290"/>
      <c r="J72" s="282" t="s">
        <v>30</v>
      </c>
      <c r="K72" s="282"/>
      <c r="L72" s="282"/>
      <c r="M72" s="282"/>
      <c r="N72" s="283"/>
      <c r="O72" s="191" t="s">
        <v>138</v>
      </c>
      <c r="P72" s="188"/>
      <c r="Q72" s="188"/>
      <c r="R72" s="188"/>
      <c r="S72" s="188"/>
    </row>
    <row r="73" spans="2:19" ht="68.25" customHeight="1" x14ac:dyDescent="0.45">
      <c r="B73" s="93" t="s">
        <v>144</v>
      </c>
      <c r="C73" s="204">
        <v>5.84</v>
      </c>
      <c r="D73" s="290" t="s">
        <v>145</v>
      </c>
      <c r="E73" s="290"/>
      <c r="F73" s="290"/>
      <c r="G73" s="290"/>
      <c r="H73" s="290"/>
      <c r="I73" s="290"/>
      <c r="J73" s="282" t="s">
        <v>30</v>
      </c>
      <c r="K73" s="282"/>
      <c r="L73" s="282"/>
      <c r="M73" s="282"/>
      <c r="N73" s="283"/>
      <c r="O73" s="191" t="s">
        <v>138</v>
      </c>
      <c r="P73" s="188"/>
      <c r="Q73" s="188"/>
      <c r="R73" s="188"/>
      <c r="S73" s="188"/>
    </row>
    <row r="74" spans="2:19" ht="79.5" customHeight="1" x14ac:dyDescent="0.45">
      <c r="B74" s="91" t="s">
        <v>146</v>
      </c>
      <c r="C74" s="185">
        <v>8826</v>
      </c>
      <c r="D74" s="290" t="s">
        <v>147</v>
      </c>
      <c r="E74" s="290"/>
      <c r="F74" s="290"/>
      <c r="G74" s="290"/>
      <c r="H74" s="290"/>
      <c r="I74" s="290"/>
      <c r="J74" s="282" t="s">
        <v>30</v>
      </c>
      <c r="K74" s="282"/>
      <c r="L74" s="282"/>
      <c r="M74" s="282"/>
      <c r="N74" s="283"/>
      <c r="O74" s="191" t="s">
        <v>148</v>
      </c>
      <c r="P74" s="188"/>
      <c r="Q74" s="188"/>
      <c r="R74" s="188"/>
      <c r="S74" s="188"/>
    </row>
    <row r="75" spans="2:19" ht="55.5" customHeight="1" x14ac:dyDescent="0.45">
      <c r="B75" s="219" t="s">
        <v>149</v>
      </c>
      <c r="C75" s="218">
        <v>3.25</v>
      </c>
      <c r="D75" s="316" t="s">
        <v>150</v>
      </c>
      <c r="E75" s="317"/>
      <c r="F75" s="317"/>
      <c r="G75" s="317"/>
      <c r="H75" s="317"/>
      <c r="I75" s="318"/>
      <c r="J75" s="316" t="s">
        <v>151</v>
      </c>
      <c r="K75" s="317"/>
      <c r="L75" s="317"/>
      <c r="M75" s="317"/>
      <c r="N75" s="318"/>
      <c r="O75" s="191" t="s">
        <v>152</v>
      </c>
    </row>
    <row r="76" spans="2:19" x14ac:dyDescent="0.45">
      <c r="D76" s="177"/>
      <c r="E76" s="177"/>
      <c r="F76" s="177"/>
      <c r="G76" s="177"/>
      <c r="H76" s="177"/>
      <c r="I76" s="177"/>
    </row>
    <row r="77" spans="2:19" x14ac:dyDescent="0.45">
      <c r="D77" s="177"/>
      <c r="E77" s="177"/>
      <c r="F77" s="177"/>
      <c r="G77" s="177"/>
      <c r="H77" s="177"/>
      <c r="I77" s="177"/>
    </row>
  </sheetData>
  <sheetProtection formatCells="0"/>
  <dataConsolidate/>
  <mergeCells count="53">
    <mergeCell ref="B11:D11"/>
    <mergeCell ref="D75:I75"/>
    <mergeCell ref="J75:N75"/>
    <mergeCell ref="A1:N1"/>
    <mergeCell ref="A3:N3"/>
    <mergeCell ref="G21:H21"/>
    <mergeCell ref="G22:H22"/>
    <mergeCell ref="G23:H23"/>
    <mergeCell ref="G25:J25"/>
    <mergeCell ref="A7:C7"/>
    <mergeCell ref="E7:I7"/>
    <mergeCell ref="B57:M57"/>
    <mergeCell ref="F15:H15"/>
    <mergeCell ref="B13:D13"/>
    <mergeCell ref="J67:N67"/>
    <mergeCell ref="F12:H12"/>
    <mergeCell ref="F13:I13"/>
    <mergeCell ref="J12:K12"/>
    <mergeCell ref="C56:H56"/>
    <mergeCell ref="G16:L16"/>
    <mergeCell ref="G14:L14"/>
    <mergeCell ref="G31:H31"/>
    <mergeCell ref="J31:K31"/>
    <mergeCell ref="J15:K15"/>
    <mergeCell ref="H41:I41"/>
    <mergeCell ref="F17:N17"/>
    <mergeCell ref="G18:M18"/>
    <mergeCell ref="E34:M35"/>
    <mergeCell ref="G19:M19"/>
    <mergeCell ref="H42:I42"/>
    <mergeCell ref="H40:I40"/>
    <mergeCell ref="J74:N74"/>
    <mergeCell ref="D66:I66"/>
    <mergeCell ref="D67:I67"/>
    <mergeCell ref="D68:I68"/>
    <mergeCell ref="D69:I69"/>
    <mergeCell ref="D70:I70"/>
    <mergeCell ref="D71:I71"/>
    <mergeCell ref="D72:I72"/>
    <mergeCell ref="D73:I73"/>
    <mergeCell ref="D74:I74"/>
    <mergeCell ref="J68:N68"/>
    <mergeCell ref="J69:N69"/>
    <mergeCell ref="J70:N70"/>
    <mergeCell ref="J71:N71"/>
    <mergeCell ref="J72:N72"/>
    <mergeCell ref="J66:N66"/>
    <mergeCell ref="A64:O64"/>
    <mergeCell ref="A59:O59"/>
    <mergeCell ref="A46:O46"/>
    <mergeCell ref="A29:O29"/>
    <mergeCell ref="J73:N73"/>
    <mergeCell ref="I50:N50"/>
  </mergeCells>
  <dataValidations count="21">
    <dataValidation type="decimal" errorStyle="warning" allowBlank="1" showInputMessage="1" showErrorMessage="1" error="The value entered is outside the expected range. The %Ash content is typically between 1.5 and 40% by weight. " sqref="I15">
      <formula1>0</formula1>
      <formula2>40</formula2>
    </dataValidation>
    <dataValidation type="decimal" errorStyle="warning" allowBlank="1" showInputMessage="1" showErrorMessage="1" error="The value you entered is outside the expected range. The sulfur content is typically between 0.05 and 10% by weight. " sqref="I12">
      <formula1>0</formula1>
      <formula2>10</formula2>
    </dataValidation>
    <dataValidation errorStyle="warning" allowBlank="1" showInputMessage="1" showErrorMessage="1" error="The cost estimates calculated using this spreadsheet apply to utility boilers greater than 25 MWh and industrial boilers greater than or equal to 250 MMBtu/hour." prompt="Values should be greater than 25 MWh for utility boilers and greater than 250 MMBtu/hour for industrial boilers." sqref="C10"/>
    <dataValidation type="whole" allowBlank="1" showInputMessage="1" showErrorMessage="1" error="Value should be less than 365 days " sqref="C31:C32">
      <formula1>0</formula1>
      <formula2>365</formula2>
    </dataValidation>
    <dataValidation type="decimal" errorStyle="warning" allowBlank="1" showInputMessage="1" showErrorMessage="1" error="The value you entered is outside the expected range. Water costs are generally between $0.002 and $0.05/gallon." sqref="C53">
      <formula1>0.002</formula1>
      <formula2>0.05</formula2>
    </dataValidation>
    <dataValidation type="whole" operator="greaterThanOrEqual" allowBlank="1" showInputMessage="1" showErrorMessage="1" error="Year must be 2012 or later" sqref="C48">
      <formula1>2012</formula1>
    </dataValidation>
    <dataValidation type="decimal" errorStyle="warning" allowBlank="1" showInputMessage="1" showErrorMessage="1" error="Value entered is outside the typical range. Electricity costs are usually between $0.02 to $0.35/kWh." sqref="C54">
      <formula1>0.02</formula1>
      <formula2>0.35</formula2>
    </dataValidation>
    <dataValidation type="decimal" allowBlank="1" showInputMessage="1" showErrorMessage="1" error="Value should be between 0 and 100 percent." sqref="C39">
      <formula1>0</formula1>
      <formula2>100</formula2>
    </dataValidation>
    <dataValidation type="whole" allowBlank="1" showInputMessage="1" showErrorMessage="1" error="Value must be less than 365 days" sqref="C40">
      <formula1>0</formula1>
      <formula2>365</formula2>
    </dataValidation>
    <dataValidation type="decimal" allowBlank="1" showInputMessage="1" showErrorMessage="1" error="You must enter a value between 0 and 1" sqref="I21:I23">
      <formula1>0</formula1>
      <formula2>1</formula2>
    </dataValidation>
    <dataValidation type="decimal" errorStyle="warning" allowBlank="1" showInputMessage="1" showErrorMessage="1" error="Please check the values you entered. The NSR is typically between 0.5 and 3." sqref="C35">
      <formula1>0</formula1>
      <formula2>3</formula2>
    </dataValidation>
    <dataValidation type="decimal" allowBlank="1" showInputMessage="1" showErrorMessage="1" error="Value must be between 0 and 100 percent." sqref="C37">
      <formula1>0</formula1>
      <formula2>100</formula2>
    </dataValidation>
    <dataValidation type="decimal" errorStyle="warning" allowBlank="1" showInputMessage="1" showErrorMessage="1" error="The typical equipment life for an SNCR is between 10 and 30 years." sqref="C41">
      <formula1>10</formula1>
      <formula2>30</formula2>
    </dataValidation>
    <dataValidation type="decimal" errorStyle="warning" allowBlank="1" showInputMessage="1" showErrorMessage="1" error="The value you entered is outside the typical range for this parameter. Ash disposal costs are generally between $3 and $50/ton." sqref="C55">
      <formula1>3</formula1>
      <formula2>50</formula2>
    </dataValidation>
    <dataValidation type="decimal" errorStyle="warning" allowBlank="1" showInputMessage="1" showErrorMessage="1" error="Fuel costs are outside the expected range. Fuel costs are typically between $1.50 and $30.00/MMBtu. " sqref="C51">
      <formula1>1.5</formula1>
      <formula2>30</formula2>
    </dataValidation>
    <dataValidation type="decimal" errorStyle="warning" allowBlank="1" showInputMessage="1" showErrorMessage="1" error="%ash is outside expected range. The %Ash content for most coal falls between 1.5 and 40%." sqref="K21:K23">
      <formula1>1.5</formula1>
      <formula2>40</formula2>
    </dataValidation>
    <dataValidation type="decimal" errorStyle="warning" allowBlank="1" showInputMessage="1" showErrorMessage="1" error="The percent sulfur content by weight is outside the expected range. %S by weight is typically between 0.05 and 10%." sqref="J21:J23">
      <formula1>0.05</formula1>
      <formula2>10</formula2>
    </dataValidation>
    <dataValidation type="whole" errorStyle="warning" allowBlank="1" showInputMessage="1" showErrorMessage="1" error="HHV for bituminous coal is outside the expected range. The HHV for bituminous coal is typically between 8,500 and 12,600 Btu/lb." sqref="L21">
      <formula1>8500</formula1>
      <formula2>12600</formula2>
    </dataValidation>
    <dataValidation type="whole" errorStyle="warning" allowBlank="1" showInputMessage="1" showErrorMessage="1" error="The HHV for sub-bituminous coal is outside the expected range. The HHV for sub-bituminous coal is typically between 8,300 and 9,300 Btu/lb." sqref="L22">
      <formula1>8300</formula1>
      <formula2>9300</formula2>
    </dataValidation>
    <dataValidation type="whole" errorStyle="warning" allowBlank="1" showInputMessage="1" showErrorMessage="1" error="The HHV for lignite is outside the expected range. The HHV for lignite is typically between 5,000 and 7,000 Btu/lb." sqref="L23">
      <formula1>5000</formula1>
      <formula2>7000</formula2>
    </dataValidation>
    <dataValidation type="decimal" errorStyle="warning" allowBlank="1" showInputMessage="1" showErrorMessage="1" error="The retrofit factor you entered is outside the expected range. The retrofit factor normally between 1 and 1.5, with 1 used for retrofits of average difficulty and 1.5 for retrofit having a high level of difficulty." sqref="D7">
      <formula1>0.84</formula1>
      <formula2>1.5</formula2>
    </dataValidation>
  </dataValidations>
  <pageMargins left="0.25" right="0.25" top="0.75" bottom="0.75" header="0.3" footer="0.3"/>
  <pageSetup scale="71" orientation="landscape" r:id="rId1"/>
  <rowBreaks count="2" manualBreakCount="2">
    <brk id="28" max="13" man="1"/>
    <brk id="6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3" r:id="rId4" name="Drop Down 23">
              <controlPr locked="0" defaultSize="0" autoLine="0" autoPict="0" macro="[0]!Change_Reagent">
                <anchor moveWithCells="1">
                  <from>
                    <xdr:col>2</xdr:col>
                    <xdr:colOff>9525</xdr:colOff>
                    <xdr:row>41</xdr:row>
                    <xdr:rowOff>171450</xdr:rowOff>
                  </from>
                  <to>
                    <xdr:col>3</xdr:col>
                    <xdr:colOff>66675</xdr:colOff>
                    <xdr:row>43</xdr:row>
                    <xdr:rowOff>0</xdr:rowOff>
                  </to>
                </anchor>
              </controlPr>
            </control>
          </mc:Choice>
        </mc:AlternateContent>
        <mc:AlternateContent xmlns:mc="http://schemas.openxmlformats.org/markup-compatibility/2006">
          <mc:Choice Requires="x14">
            <control shapeId="10265" r:id="rId5" name="Drop Down 25">
              <controlPr locked="0" defaultSize="0" autoLine="0" autoPict="0">
                <anchor moveWithCells="1">
                  <from>
                    <xdr:col>2</xdr:col>
                    <xdr:colOff>142875</xdr:colOff>
                    <xdr:row>15</xdr:row>
                    <xdr:rowOff>104775</xdr:rowOff>
                  </from>
                  <to>
                    <xdr:col>2</xdr:col>
                    <xdr:colOff>714375</xdr:colOff>
                    <xdr:row>15</xdr:row>
                    <xdr:rowOff>304800</xdr:rowOff>
                  </to>
                </anchor>
              </controlPr>
            </control>
          </mc:Choice>
        </mc:AlternateContent>
        <mc:AlternateContent xmlns:mc="http://schemas.openxmlformats.org/markup-compatibility/2006">
          <mc:Choice Requires="x14">
            <control shapeId="10270" r:id="rId6" name="Drop Down 30">
              <controlPr locked="0" defaultSize="0" autoLine="0" autoPict="0" macro="[0]!UtilityORIndustrial">
                <anchor moveWithCells="1">
                  <from>
                    <xdr:col>1</xdr:col>
                    <xdr:colOff>3429000</xdr:colOff>
                    <xdr:row>3</xdr:row>
                    <xdr:rowOff>228600</xdr:rowOff>
                  </from>
                  <to>
                    <xdr:col>3</xdr:col>
                    <xdr:colOff>38100</xdr:colOff>
                    <xdr:row>3</xdr:row>
                    <xdr:rowOff>457200</xdr:rowOff>
                  </to>
                </anchor>
              </controlPr>
            </control>
          </mc:Choice>
        </mc:AlternateContent>
        <mc:AlternateContent xmlns:mc="http://schemas.openxmlformats.org/markup-compatibility/2006">
          <mc:Choice Requires="x14">
            <control shapeId="10271" r:id="rId7" name="Drop Down 31">
              <controlPr locked="0" defaultSize="0" autoLine="0" autoPict="0" macro="[0]!ChangeCoalBlock">
                <anchor moveWithCells="1">
                  <from>
                    <xdr:col>8</xdr:col>
                    <xdr:colOff>533400</xdr:colOff>
                    <xdr:row>3</xdr:row>
                    <xdr:rowOff>314325</xdr:rowOff>
                  </from>
                  <to>
                    <xdr:col>9</xdr:col>
                    <xdr:colOff>638175</xdr:colOff>
                    <xdr:row>4</xdr:row>
                    <xdr:rowOff>19050</xdr:rowOff>
                  </to>
                </anchor>
              </controlPr>
            </control>
          </mc:Choice>
        </mc:AlternateContent>
        <mc:AlternateContent xmlns:mc="http://schemas.openxmlformats.org/markup-compatibility/2006">
          <mc:Choice Requires="x14">
            <control shapeId="10274" r:id="rId8" name="Drop Down 34">
              <controlPr locked="0" defaultSize="0" autoLine="0" autoPict="0" macro="[0]!SO2Emissions">
                <anchor moveWithCells="1">
                  <from>
                    <xdr:col>9</xdr:col>
                    <xdr:colOff>57150</xdr:colOff>
                    <xdr:row>12</xdr:row>
                    <xdr:rowOff>238125</xdr:rowOff>
                  </from>
                  <to>
                    <xdr:col>10</xdr:col>
                    <xdr:colOff>361950</xdr:colOff>
                    <xdr:row>12</xdr:row>
                    <xdr:rowOff>428625</xdr:rowOff>
                  </to>
                </anchor>
              </controlPr>
            </control>
          </mc:Choice>
        </mc:AlternateContent>
        <mc:AlternateContent xmlns:mc="http://schemas.openxmlformats.org/markup-compatibility/2006">
          <mc:Choice Requires="x14">
            <control shapeId="10275" r:id="rId9" name="Drop Down 35">
              <controlPr locked="0" defaultSize="0" autoLine="0" autoPict="0" macro="[0]!Coal_Type_Change">
                <anchor moveWithCells="1">
                  <from>
                    <xdr:col>7</xdr:col>
                    <xdr:colOff>1047750</xdr:colOff>
                    <xdr:row>9</xdr:row>
                    <xdr:rowOff>76200</xdr:rowOff>
                  </from>
                  <to>
                    <xdr:col>9</xdr:col>
                    <xdr:colOff>285750</xdr:colOff>
                    <xdr:row>10</xdr:row>
                    <xdr:rowOff>19050</xdr:rowOff>
                  </to>
                </anchor>
              </controlPr>
            </control>
          </mc:Choice>
        </mc:AlternateContent>
        <mc:AlternateContent xmlns:mc="http://schemas.openxmlformats.org/markup-compatibility/2006">
          <mc:Choice Requires="x14">
            <control shapeId="10276" r:id="rId10" name="Button 36">
              <controlPr locked="0" defaultSize="0" print="0" autoFill="0" autoPict="0" macro="[0]!Reset_Button" altText="Click to Reset Form">
                <anchor moveWithCells="1">
                  <from>
                    <xdr:col>10</xdr:col>
                    <xdr:colOff>333375</xdr:colOff>
                    <xdr:row>4</xdr:row>
                    <xdr:rowOff>95250</xdr:rowOff>
                  </from>
                  <to>
                    <xdr:col>12</xdr:col>
                    <xdr:colOff>85725</xdr:colOff>
                    <xdr:row>5</xdr:row>
                    <xdr:rowOff>47625</xdr:rowOff>
                  </to>
                </anchor>
              </controlPr>
            </control>
          </mc:Choice>
        </mc:AlternateContent>
        <mc:AlternateContent xmlns:mc="http://schemas.openxmlformats.org/markup-compatibility/2006">
          <mc:Choice Requires="x14">
            <control shapeId="10279" r:id="rId11" name="Drop Down 39">
              <controlPr defaultSize="0" autoLine="0" autoPict="0" macro="[0]!Retrofit">
                <anchor moveWithCells="1">
                  <from>
                    <xdr:col>1</xdr:col>
                    <xdr:colOff>3133725</xdr:colOff>
                    <xdr:row>4</xdr:row>
                    <xdr:rowOff>209550</xdr:rowOff>
                  </from>
                  <to>
                    <xdr:col>3</xdr:col>
                    <xdr:colOff>38100</xdr:colOff>
                    <xdr:row>4</xdr:row>
                    <xdr:rowOff>447675</xdr:rowOff>
                  </to>
                </anchor>
              </controlPr>
            </control>
          </mc:Choice>
        </mc:AlternateContent>
        <mc:AlternateContent xmlns:mc="http://schemas.openxmlformats.org/markup-compatibility/2006">
          <mc:Choice Requires="x14">
            <control shapeId="10280" r:id="rId12" name="Button 40">
              <controlPr defaultSize="0" print="0" autoFill="0" autoPict="0" macro="[0]!Coal_Blend">
                <anchor moveWithCells="1" sizeWithCells="1">
                  <from>
                    <xdr:col>10</xdr:col>
                    <xdr:colOff>485775</xdr:colOff>
                    <xdr:row>24</xdr:row>
                    <xdr:rowOff>9525</xdr:rowOff>
                  </from>
                  <to>
                    <xdr:col>11</xdr:col>
                    <xdr:colOff>714375</xdr:colOff>
                    <xdr:row>24</xdr:row>
                    <xdr:rowOff>381000</xdr:rowOff>
                  </to>
                </anchor>
              </controlPr>
            </control>
          </mc:Choice>
        </mc:AlternateContent>
        <mc:AlternateContent xmlns:mc="http://schemas.openxmlformats.org/markup-compatibility/2006">
          <mc:Choice Requires="x14">
            <control shapeId="10281" r:id="rId13" name="Button 41">
              <controlPr defaultSize="0" print="0" autoFill="0" autoPict="0" macro="[0]!Reset_Comp_Table">
                <anchor moveWithCells="1" sizeWithCells="1">
                  <from>
                    <xdr:col>12</xdr:col>
                    <xdr:colOff>85725</xdr:colOff>
                    <xdr:row>24</xdr:row>
                    <xdr:rowOff>0</xdr:rowOff>
                  </from>
                  <to>
                    <xdr:col>13</xdr:col>
                    <xdr:colOff>161925</xdr:colOff>
                    <xdr:row>24</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sheetPr>
  <dimension ref="A1:U51"/>
  <sheetViews>
    <sheetView showGridLines="0" zoomScaleNormal="100" workbookViewId="0">
      <selection activeCell="F23" sqref="F23"/>
    </sheetView>
  </sheetViews>
  <sheetFormatPr defaultColWidth="9.1328125" defaultRowHeight="14.25" x14ac:dyDescent="0.45"/>
  <cols>
    <col min="1" max="2" width="46.3984375" style="98" customWidth="1"/>
    <col min="3" max="3" width="19.86328125" style="78" customWidth="1"/>
    <col min="4" max="4" width="14.265625" style="78" customWidth="1"/>
    <col min="5" max="5" width="11.265625" style="78" customWidth="1"/>
    <col min="6" max="6" width="7.73046875" style="78" customWidth="1"/>
    <col min="7" max="7" width="9.1328125" style="78"/>
    <col min="8" max="8" width="12.73046875" style="78" customWidth="1"/>
    <col min="9" max="9" width="7.3984375" style="95" hidden="1" customWidth="1"/>
    <col min="10" max="15" width="9.1328125" style="95" hidden="1" customWidth="1"/>
    <col min="16" max="17" width="9.1328125" style="96" hidden="1" customWidth="1"/>
    <col min="18" max="18" width="0" style="96" hidden="1" customWidth="1"/>
    <col min="19" max="21" width="0" style="97" hidden="1" customWidth="1"/>
    <col min="22" max="16384" width="9.1328125" style="78"/>
  </cols>
  <sheetData>
    <row r="1" spans="1:21" ht="23.25" x14ac:dyDescent="0.35">
      <c r="A1" s="332" t="s">
        <v>153</v>
      </c>
      <c r="B1" s="332"/>
      <c r="C1" s="332"/>
      <c r="D1" s="332"/>
      <c r="E1" s="332"/>
      <c r="F1" s="332"/>
      <c r="G1" s="332"/>
      <c r="H1" s="332"/>
    </row>
    <row r="3" spans="1:21" ht="31.5" customHeight="1" x14ac:dyDescent="0.25">
      <c r="A3" s="333" t="s">
        <v>154</v>
      </c>
      <c r="B3" s="333"/>
      <c r="C3" s="333"/>
      <c r="D3" s="333"/>
      <c r="E3" s="333"/>
      <c r="F3" s="333"/>
      <c r="G3" s="333"/>
      <c r="H3" s="333"/>
    </row>
    <row r="4" spans="1:21" ht="31.5" customHeight="1" x14ac:dyDescent="0.25">
      <c r="A4" s="249"/>
      <c r="B4" s="249"/>
      <c r="C4" s="249"/>
      <c r="D4" s="249"/>
      <c r="E4" s="249"/>
      <c r="F4" s="249"/>
      <c r="G4" s="249"/>
      <c r="H4" s="249"/>
    </row>
    <row r="5" spans="1:21" ht="18" customHeight="1" x14ac:dyDescent="0.25">
      <c r="A5" s="99" t="s">
        <v>155</v>
      </c>
      <c r="B5" s="99" t="s">
        <v>156</v>
      </c>
      <c r="C5" s="99" t="s">
        <v>157</v>
      </c>
      <c r="D5" s="99" t="s">
        <v>158</v>
      </c>
      <c r="E5" s="100"/>
      <c r="F5" s="100"/>
      <c r="G5" s="100"/>
      <c r="H5" s="100"/>
    </row>
    <row r="6" spans="1:21" s="102" customFormat="1" ht="18.75" x14ac:dyDescent="0.35">
      <c r="A6" s="101" t="s">
        <v>159</v>
      </c>
      <c r="B6" s="101" t="str">
        <f>IF('Data Inputs'!P8=2,"Bmw x NPHR =", "HHV x Max. Fuel Rate =")</f>
        <v>Bmw x NPHR =</v>
      </c>
      <c r="C6" s="69">
        <f>IF('Data Inputs'!P8=2,('Data Inputs'!C10*'Data Inputs'!C18),'Data Inputs'!C10)</f>
        <v>5580</v>
      </c>
      <c r="D6" s="85" t="s">
        <v>160</v>
      </c>
      <c r="I6" s="103"/>
      <c r="J6" s="103"/>
      <c r="K6" s="103"/>
      <c r="L6" s="103"/>
      <c r="M6" s="103"/>
      <c r="N6" s="103"/>
      <c r="O6" s="103"/>
      <c r="P6" s="104"/>
      <c r="Q6" s="104"/>
      <c r="R6" s="104"/>
      <c r="S6" s="105"/>
      <c r="T6" s="105"/>
      <c r="U6" s="105"/>
    </row>
    <row r="7" spans="1:21" s="102" customFormat="1" ht="15.75" x14ac:dyDescent="0.25">
      <c r="A7" s="101" t="str">
        <f>IF('Data Inputs'!P8=2,"Maximum Annual MWh Output =",(IF('Data Inputs'!P8=3,"Maximum Annual fuel consumption (mfuel) ="," ")))</f>
        <v>Maximum Annual MWh Output =</v>
      </c>
      <c r="B7" s="101" t="str">
        <f>IF('Data Inputs'!P8=2, "Bmw x 8760 = ", (IF('Data Inputs'!P8=3, "(QB x 1.0E6 Btu/MMBtu x 8760)/HHV =", " ")))</f>
        <v xml:space="preserve">Bmw x 8760 = </v>
      </c>
      <c r="C7" s="69">
        <f>IF('Data Inputs'!P8=3,((('SNCR Design Parameters'!C6/'Data Inputs'!C12)*1000000)*8760),(IF('Data Inputs'!P8=2,('Data Inputs'!C10*8760)," ")))</f>
        <v>4888080</v>
      </c>
      <c r="D7" s="85" t="str">
        <f>'Data Inputs'!$D$14</f>
        <v>MWh</v>
      </c>
      <c r="I7" s="103"/>
      <c r="J7" s="103"/>
      <c r="K7" s="103"/>
      <c r="L7" s="103"/>
      <c r="M7" s="103"/>
      <c r="N7" s="103"/>
      <c r="O7" s="103"/>
      <c r="P7" s="104"/>
      <c r="Q7" s="104"/>
      <c r="R7" s="104"/>
      <c r="S7" s="105"/>
      <c r="T7" s="105"/>
      <c r="U7" s="105"/>
    </row>
    <row r="8" spans="1:21" s="102" customFormat="1" ht="31.5" x14ac:dyDescent="0.25">
      <c r="A8" s="106" t="str">
        <f>IF('Data Inputs'!P8=2,"Estimated Actual Annual MWh Output (Boutput) =",(IF('Data Inputs'!P8=3,"Actual Annual fuel consumption (Mactual) ="," ")))</f>
        <v>Estimated Actual Annual MWh Output (Boutput) =</v>
      </c>
      <c r="B8" s="106"/>
      <c r="C8" s="69">
        <f>'Data Inputs'!C14</f>
        <v>2797891.9233333301</v>
      </c>
      <c r="D8" s="85" t="str">
        <f>'Data Inputs'!$D$14</f>
        <v>MWh</v>
      </c>
      <c r="E8" s="109"/>
      <c r="I8" s="103"/>
      <c r="J8" s="103"/>
      <c r="K8" s="103"/>
      <c r="L8" s="103"/>
      <c r="M8" s="103"/>
      <c r="N8" s="103"/>
      <c r="O8" s="103"/>
      <c r="P8" s="104"/>
      <c r="Q8" s="104"/>
      <c r="R8" s="104"/>
      <c r="S8" s="105"/>
      <c r="T8" s="105"/>
      <c r="U8" s="105"/>
    </row>
    <row r="9" spans="1:21" s="102" customFormat="1" ht="15.75" x14ac:dyDescent="0.25">
      <c r="A9" s="106" t="s">
        <v>161</v>
      </c>
      <c r="B9" s="106" t="s">
        <v>162</v>
      </c>
      <c r="C9" s="65">
        <f>'Data Inputs'!C18/10</f>
        <v>1</v>
      </c>
      <c r="D9" s="85"/>
      <c r="I9" s="103"/>
      <c r="J9" s="103"/>
      <c r="K9" s="103"/>
      <c r="L9" s="103"/>
      <c r="M9" s="103"/>
      <c r="N9" s="103"/>
      <c r="O9" s="103"/>
      <c r="P9" s="104"/>
      <c r="Q9" s="104"/>
      <c r="R9" s="104"/>
      <c r="S9" s="105"/>
      <c r="T9" s="105"/>
      <c r="U9" s="105"/>
    </row>
    <row r="10" spans="1:21" s="102" customFormat="1" ht="18.75" x14ac:dyDescent="0.35">
      <c r="A10" s="101" t="s">
        <v>163</v>
      </c>
      <c r="B10" s="101" t="str">
        <f>IF('Data Inputs'!P8=2, "(Boutput/Bmw)*(tsncr/tplant) =", (IF('Data Inputs'!P8=3, "(Mactual/Mfuel) x (tSNCR/tplant) =", " ")))</f>
        <v>(Boutput/Bmw)*(tsncr/tplant) =</v>
      </c>
      <c r="C10" s="234">
        <f>(C8/C7)*('Data Inputs'!C31/'Data Inputs'!C32)</f>
        <v>0.57239077988358011</v>
      </c>
      <c r="D10" s="85" t="s">
        <v>164</v>
      </c>
      <c r="G10" s="142"/>
      <c r="I10" s="103"/>
      <c r="J10" s="103"/>
      <c r="K10" s="103"/>
      <c r="L10" s="103"/>
      <c r="M10" s="103"/>
      <c r="N10" s="103"/>
      <c r="O10" s="103"/>
      <c r="P10" s="104"/>
      <c r="Q10" s="104"/>
      <c r="R10" s="104"/>
      <c r="S10" s="105"/>
      <c r="T10" s="105"/>
      <c r="U10" s="105"/>
    </row>
    <row r="11" spans="1:21" s="102" customFormat="1" ht="18.75" x14ac:dyDescent="0.35">
      <c r="A11" s="101" t="s">
        <v>165</v>
      </c>
      <c r="B11" s="101" t="s">
        <v>166</v>
      </c>
      <c r="C11" s="87">
        <f>C10*8760</f>
        <v>5014.1432317801618</v>
      </c>
      <c r="D11" s="85" t="s">
        <v>167</v>
      </c>
      <c r="G11" s="142"/>
      <c r="I11" s="103"/>
      <c r="J11" s="103"/>
      <c r="K11" s="103"/>
      <c r="L11" s="103"/>
      <c r="M11" s="103"/>
      <c r="N11" s="103"/>
      <c r="O11" s="103"/>
      <c r="P11" s="104"/>
      <c r="Q11" s="104"/>
      <c r="R11" s="104"/>
      <c r="S11" s="105"/>
      <c r="T11" s="105"/>
      <c r="U11" s="105"/>
    </row>
    <row r="12" spans="1:21" s="102" customFormat="1" ht="18.75" x14ac:dyDescent="0.35">
      <c r="A12" s="101" t="s">
        <v>168</v>
      </c>
      <c r="B12" s="101" t="s">
        <v>169</v>
      </c>
      <c r="C12" s="87">
        <f>(('Data Inputs'!C33-'Data Inputs'!C34)/'Data Inputs'!C33)*100</f>
        <v>3.2258064516129057</v>
      </c>
      <c r="D12" s="85" t="s">
        <v>96</v>
      </c>
      <c r="I12" s="103"/>
      <c r="J12" s="103"/>
      <c r="K12" s="103"/>
      <c r="L12" s="103"/>
      <c r="M12" s="103"/>
      <c r="N12" s="103"/>
      <c r="O12" s="103"/>
      <c r="P12" s="104"/>
      <c r="Q12" s="104"/>
      <c r="R12" s="104"/>
      <c r="S12" s="105"/>
      <c r="T12" s="105"/>
      <c r="U12" s="105"/>
    </row>
    <row r="13" spans="1:21" s="102" customFormat="1" ht="18.75" x14ac:dyDescent="0.35">
      <c r="A13" s="101" t="s">
        <v>170</v>
      </c>
      <c r="B13" s="101" t="s">
        <v>171</v>
      </c>
      <c r="C13" s="86">
        <f>(C12/100)*'Data Inputs'!C33*'SNCR Design Parameters'!C6</f>
        <v>33.480000000000032</v>
      </c>
      <c r="D13" s="85" t="s">
        <v>172</v>
      </c>
      <c r="I13" s="103"/>
      <c r="J13" s="103"/>
      <c r="K13" s="103"/>
      <c r="L13" s="103"/>
      <c r="M13" s="103"/>
      <c r="N13" s="103"/>
      <c r="O13" s="103"/>
      <c r="P13" s="104"/>
      <c r="Q13" s="104"/>
      <c r="R13" s="104"/>
      <c r="S13" s="105"/>
      <c r="T13" s="105"/>
      <c r="U13" s="105"/>
    </row>
    <row r="14" spans="1:21" s="102" customFormat="1" ht="18.75" x14ac:dyDescent="0.35">
      <c r="A14" s="101" t="s">
        <v>173</v>
      </c>
      <c r="B14" s="101" t="s">
        <v>174</v>
      </c>
      <c r="C14" s="65">
        <f>C13*C11/2000</f>
        <v>83.936757699999987</v>
      </c>
      <c r="D14" s="85" t="s">
        <v>175</v>
      </c>
      <c r="I14" s="103"/>
      <c r="J14" s="103"/>
      <c r="K14" s="103"/>
      <c r="L14" s="103"/>
      <c r="M14" s="103"/>
      <c r="N14" s="103"/>
      <c r="O14" s="103"/>
      <c r="P14" s="104"/>
      <c r="Q14" s="104"/>
      <c r="R14" s="104"/>
      <c r="S14" s="105"/>
      <c r="T14" s="105"/>
      <c r="U14" s="105"/>
    </row>
    <row r="15" spans="1:21" s="102" customFormat="1" ht="45" customHeight="1" x14ac:dyDescent="0.25">
      <c r="A15" s="106" t="s">
        <v>176</v>
      </c>
      <c r="B15" s="106" t="s">
        <v>177</v>
      </c>
      <c r="C15" s="65">
        <f>IF('Data Inputs'!P17=2, (IF('Data Inputs'!S12=2,1,(IF('Data Inputs'!S12=3,1.05,(IF('Data Inputs'!S12=4,1.07,L15)))))), " ")</f>
        <v>1.05</v>
      </c>
      <c r="D15" s="85"/>
      <c r="E15" s="334" t="str">
        <f>IF('Data Inputs'!P17&lt;&gt;2,"Not applicable; factor applies only to coal-fired boilers", " ")</f>
        <v xml:space="preserve"> </v>
      </c>
      <c r="F15" s="334"/>
      <c r="G15" s="334"/>
      <c r="H15" s="334"/>
      <c r="I15" s="103"/>
      <c r="J15" s="103"/>
      <c r="K15" s="103"/>
      <c r="L15" s="210" t="e">
        <f>((1*'Data Inputs'!I21)+(1.05*'Data Inputs'!I22)+(1.07*'Data Inputs'!I23))/SUM('Data Inputs'!I21:I23)</f>
        <v>#DIV/0!</v>
      </c>
      <c r="M15" s="103"/>
      <c r="N15" s="103"/>
      <c r="O15" s="103"/>
      <c r="P15" s="104"/>
      <c r="Q15" s="104"/>
      <c r="R15" s="104"/>
      <c r="S15" s="105"/>
      <c r="T15" s="105"/>
      <c r="U15" s="105"/>
    </row>
    <row r="16" spans="1:21" s="102" customFormat="1" ht="33" customHeight="1" x14ac:dyDescent="0.25">
      <c r="A16" s="107" t="s">
        <v>178</v>
      </c>
      <c r="B16" s="107" t="s">
        <v>179</v>
      </c>
      <c r="C16" s="84" t="str">
        <f>IF('Data Inputs'!V11=2,"&lt; 3",(IF('Data Inputs'!V11=3,"&gt; 3"," ")))</f>
        <v>&lt; 3</v>
      </c>
      <c r="D16" s="85" t="str">
        <f>IF('Data Inputs'!P17=2, "lbs/MMBtu", " ")</f>
        <v>lbs/MMBtu</v>
      </c>
      <c r="E16" s="348" t="str">
        <f>IF('Data Inputs'!P17&lt;&gt;2,"Not applicable; factor applies only to coal-fired boilers", " ")</f>
        <v xml:space="preserve"> </v>
      </c>
      <c r="F16" s="334"/>
      <c r="G16" s="334"/>
      <c r="H16" s="334"/>
      <c r="I16" s="103"/>
      <c r="J16" s="103"/>
      <c r="K16" s="103"/>
      <c r="L16" s="103"/>
      <c r="M16" s="103"/>
      <c r="N16" s="103"/>
      <c r="O16" s="103"/>
      <c r="P16" s="104"/>
      <c r="Q16" s="104"/>
      <c r="R16" s="104"/>
      <c r="S16" s="105"/>
      <c r="T16" s="105"/>
      <c r="U16" s="105"/>
    </row>
    <row r="17" spans="1:21" s="102" customFormat="1" ht="25.5" customHeight="1" x14ac:dyDescent="0.5">
      <c r="A17" s="107" t="s">
        <v>180</v>
      </c>
      <c r="B17" s="107" t="s">
        <v>181</v>
      </c>
      <c r="C17" s="65" t="str">
        <f>IF('Data Inputs'!I31&lt;500, " ", (14.7/C18))</f>
        <v xml:space="preserve"> </v>
      </c>
      <c r="D17" s="85"/>
      <c r="E17" s="349" t="str">
        <f>IF('Data Inputs'!I31&lt;500, "Not applicable; elevation factor does not apply to plants located at elevations below 500 feet.", " ")</f>
        <v>Not applicable; elevation factor does not apply to plants located at elevations below 500 feet.</v>
      </c>
      <c r="F17" s="350"/>
      <c r="G17" s="350"/>
      <c r="H17" s="350"/>
      <c r="I17" s="211"/>
      <c r="J17" s="103"/>
      <c r="K17" s="103"/>
      <c r="L17" s="103"/>
      <c r="M17" s="103"/>
      <c r="N17" s="103"/>
      <c r="O17" s="103"/>
      <c r="P17" s="104"/>
      <c r="Q17" s="104"/>
      <c r="R17" s="104"/>
      <c r="S17" s="105"/>
      <c r="T17" s="105"/>
      <c r="U17" s="105"/>
    </row>
    <row r="18" spans="1:21" s="102" customFormat="1" ht="41.25" customHeight="1" x14ac:dyDescent="0.5">
      <c r="A18" s="108" t="str">
        <f>IF('Data Inputs'!I31=0,"Atmospheric pressure at sea level (P) =","Atmospheric pressure at "&amp;'Data Inputs'!I31&amp;" feet above sea level (P) =")</f>
        <v>Atmospheric pressure at 250 feet above sea level (P) =</v>
      </c>
      <c r="B18" s="155" t="s">
        <v>182</v>
      </c>
      <c r="C18" s="156">
        <f>(2116)*(((59-(0.00356*'Data Inputs'!I31)+459.7)/518.6)^5.256)*(1/144)</f>
        <v>14.577172177050217</v>
      </c>
      <c r="D18" s="85" t="s">
        <v>183</v>
      </c>
      <c r="E18" s="349"/>
      <c r="F18" s="350"/>
      <c r="G18" s="350"/>
      <c r="H18" s="350"/>
      <c r="I18" s="103"/>
      <c r="J18" s="103"/>
      <c r="K18" s="103"/>
      <c r="L18" s="103"/>
      <c r="M18" s="103"/>
      <c r="N18" s="103"/>
      <c r="O18" s="103"/>
      <c r="P18" s="104"/>
      <c r="Q18" s="104"/>
      <c r="R18" s="104"/>
      <c r="S18" s="105"/>
      <c r="T18" s="105"/>
      <c r="U18" s="105"/>
    </row>
    <row r="19" spans="1:21" s="102" customFormat="1" ht="21.75" customHeight="1" x14ac:dyDescent="0.25">
      <c r="A19" s="108" t="s">
        <v>184</v>
      </c>
      <c r="B19" s="215" t="str">
        <f>IF('Data Inputs'!S8=2,"New Construction",(IF('Data Inputs'!S8=3,"Retrofit to existing boiler"," ")))</f>
        <v>Retrofit to existing boiler</v>
      </c>
      <c r="C19" s="213">
        <f>IF('Data Inputs'!S8=2,0.84,(IF('Data Inputs'!S8=3,'Data Inputs'!D7," ")))</f>
        <v>1</v>
      </c>
      <c r="D19" s="85"/>
      <c r="E19" s="250"/>
      <c r="F19" s="250"/>
      <c r="G19" s="250"/>
      <c r="H19" s="250"/>
      <c r="I19" s="103"/>
      <c r="J19" s="103"/>
      <c r="K19" s="103"/>
      <c r="L19" s="103"/>
      <c r="M19" s="103"/>
      <c r="N19" s="103"/>
      <c r="O19" s="103"/>
      <c r="P19" s="104"/>
      <c r="Q19" s="104"/>
      <c r="R19" s="104"/>
      <c r="S19" s="105"/>
      <c r="T19" s="105"/>
      <c r="U19" s="105"/>
    </row>
    <row r="20" spans="1:21" s="102" customFormat="1" ht="37.5" customHeight="1" x14ac:dyDescent="0.25">
      <c r="A20" s="351" t="s">
        <v>185</v>
      </c>
      <c r="B20" s="351"/>
      <c r="C20" s="351"/>
      <c r="D20" s="351"/>
      <c r="I20" s="103"/>
      <c r="J20" s="103"/>
      <c r="K20" s="103"/>
      <c r="L20" s="103"/>
      <c r="M20" s="103"/>
      <c r="N20" s="103"/>
      <c r="O20" s="103"/>
      <c r="P20" s="104"/>
      <c r="Q20" s="104"/>
      <c r="R20" s="104"/>
      <c r="S20" s="105"/>
      <c r="T20" s="105"/>
      <c r="U20" s="105"/>
    </row>
    <row r="21" spans="1:21" s="102" customFormat="1" ht="15.75" x14ac:dyDescent="0.25">
      <c r="A21" s="110" t="s">
        <v>186</v>
      </c>
      <c r="B21" s="110"/>
      <c r="C21" s="111"/>
      <c r="I21" s="103"/>
      <c r="J21" s="103"/>
      <c r="K21" s="103"/>
      <c r="L21" s="103"/>
      <c r="M21" s="103"/>
      <c r="N21" s="103"/>
      <c r="O21" s="103"/>
      <c r="P21" s="104"/>
      <c r="Q21" s="104"/>
      <c r="R21" s="104"/>
      <c r="S21" s="105"/>
      <c r="T21" s="105"/>
      <c r="U21" s="105"/>
    </row>
    <row r="22" spans="1:21" s="102" customFormat="1" ht="15.75" x14ac:dyDescent="0.5">
      <c r="A22" s="109" t="s">
        <v>187</v>
      </c>
      <c r="B22" s="112" t="str">
        <f>IF('Data Inputs'!P42=1,"Urea","Ammonia")</f>
        <v>Ammonia</v>
      </c>
      <c r="C22" s="347" t="s">
        <v>188</v>
      </c>
      <c r="D22" s="347"/>
      <c r="E22" s="347"/>
      <c r="F22" s="112">
        <f>IF('Data Inputs'!P42=1, 60.06, 17.03)</f>
        <v>17.03</v>
      </c>
      <c r="G22" s="112" t="s">
        <v>189</v>
      </c>
      <c r="H22" s="112"/>
      <c r="I22" s="103"/>
      <c r="J22" s="103"/>
      <c r="K22" s="103"/>
      <c r="L22" s="103">
        <f>IF('Data Inputs'!P42=1,2,1)</f>
        <v>1</v>
      </c>
      <c r="M22" s="103">
        <f>IF('Data Inputs'!P43=1,71,56)</f>
        <v>56</v>
      </c>
      <c r="N22" s="103"/>
      <c r="O22" s="103"/>
      <c r="P22" s="104"/>
      <c r="Q22" s="104"/>
      <c r="R22" s="104"/>
      <c r="S22" s="105"/>
      <c r="T22" s="105"/>
      <c r="U22" s="105"/>
    </row>
    <row r="23" spans="1:21" s="102" customFormat="1" ht="15.75" x14ac:dyDescent="0.5">
      <c r="A23" s="109"/>
      <c r="B23" s="105"/>
      <c r="C23" s="252"/>
      <c r="D23" s="252"/>
      <c r="E23" s="252" t="s">
        <v>190</v>
      </c>
      <c r="F23" s="112">
        <f>'Data Inputs'!C38</f>
        <v>56</v>
      </c>
      <c r="G23" s="112" t="s">
        <v>191</v>
      </c>
      <c r="H23" s="112"/>
      <c r="I23" s="103"/>
      <c r="J23" s="103"/>
      <c r="K23" s="103"/>
      <c r="L23" s="103"/>
      <c r="M23" s="103"/>
      <c r="N23" s="103"/>
      <c r="O23" s="103"/>
      <c r="P23" s="104"/>
      <c r="Q23" s="104"/>
      <c r="R23" s="104"/>
      <c r="S23" s="105"/>
      <c r="T23" s="105"/>
      <c r="U23" s="105"/>
    </row>
    <row r="24" spans="1:21" s="102" customFormat="1" ht="15.75" x14ac:dyDescent="0.5">
      <c r="A24" s="109"/>
      <c r="B24" s="109"/>
      <c r="I24" s="103"/>
      <c r="J24" s="103"/>
      <c r="K24" s="103"/>
      <c r="L24" s="103"/>
      <c r="M24" s="103"/>
      <c r="N24" s="103"/>
      <c r="O24" s="103"/>
      <c r="P24" s="104"/>
      <c r="Q24" s="104"/>
      <c r="R24" s="104"/>
      <c r="S24" s="105"/>
      <c r="T24" s="105"/>
      <c r="U24" s="105"/>
    </row>
    <row r="25" spans="1:21" s="102" customFormat="1" ht="15.75" x14ac:dyDescent="0.5">
      <c r="A25" s="113" t="s">
        <v>155</v>
      </c>
      <c r="B25" s="113" t="s">
        <v>156</v>
      </c>
      <c r="C25" s="113" t="s">
        <v>157</v>
      </c>
      <c r="D25" s="335" t="s">
        <v>158</v>
      </c>
      <c r="E25" s="336"/>
      <c r="F25" s="336"/>
      <c r="G25" s="336"/>
      <c r="H25" s="337"/>
      <c r="I25" s="103"/>
      <c r="J25" s="103"/>
      <c r="K25" s="103"/>
      <c r="L25" s="103"/>
      <c r="M25" s="103"/>
      <c r="N25" s="103"/>
      <c r="O25" s="103"/>
      <c r="P25" s="104"/>
      <c r="Q25" s="104"/>
      <c r="R25" s="104"/>
      <c r="S25" s="105"/>
      <c r="T25" s="105"/>
      <c r="U25" s="105"/>
    </row>
    <row r="26" spans="1:21" s="102" customFormat="1" ht="18" x14ac:dyDescent="0.65">
      <c r="A26" s="114" t="s">
        <v>192</v>
      </c>
      <c r="B26" s="115" t="s">
        <v>193</v>
      </c>
      <c r="C26" s="66">
        <f>('Data Inputs'!C33*'SNCR Design Parameters'!C6*'Data Inputs'!C35*'SNCR Design Parameters'!F22)/(46.01*'SNCR Design Parameters'!L22)</f>
        <v>403.36559921756145</v>
      </c>
      <c r="D26" s="338" t="s">
        <v>172</v>
      </c>
      <c r="E26" s="339"/>
      <c r="F26" s="339"/>
      <c r="G26" s="339"/>
      <c r="H26" s="340"/>
      <c r="I26" s="103"/>
      <c r="J26" s="103"/>
      <c r="K26" s="103"/>
      <c r="L26" s="103"/>
      <c r="M26" s="103"/>
      <c r="N26" s="103"/>
      <c r="O26" s="103"/>
      <c r="P26" s="104"/>
      <c r="Q26" s="104"/>
      <c r="R26" s="104"/>
      <c r="S26" s="105"/>
      <c r="T26" s="105"/>
      <c r="U26" s="105"/>
    </row>
    <row r="27" spans="1:21" s="102" customFormat="1" ht="18" x14ac:dyDescent="0.65">
      <c r="A27" s="116"/>
      <c r="B27" s="117" t="s">
        <v>194</v>
      </c>
      <c r="C27" s="67"/>
      <c r="D27" s="118"/>
      <c r="E27" s="119"/>
      <c r="F27" s="119"/>
      <c r="G27" s="119"/>
      <c r="H27" s="120"/>
      <c r="I27" s="103"/>
      <c r="J27" s="103"/>
      <c r="K27" s="103"/>
      <c r="L27" s="103"/>
      <c r="M27" s="103"/>
      <c r="N27" s="103"/>
      <c r="O27" s="103"/>
      <c r="P27" s="104"/>
      <c r="Q27" s="104"/>
      <c r="R27" s="104"/>
      <c r="S27" s="105"/>
      <c r="T27" s="105"/>
      <c r="U27" s="105"/>
    </row>
    <row r="28" spans="1:21" s="102" customFormat="1" ht="18" x14ac:dyDescent="0.65">
      <c r="A28" s="114" t="s">
        <v>195</v>
      </c>
      <c r="B28" s="121" t="s">
        <v>196</v>
      </c>
      <c r="C28" s="68">
        <f>C26/('Data Inputs'!C37/100)</f>
        <v>1390.9158593709017</v>
      </c>
      <c r="D28" s="341" t="s">
        <v>172</v>
      </c>
      <c r="E28" s="342"/>
      <c r="F28" s="342"/>
      <c r="G28" s="342"/>
      <c r="H28" s="343"/>
      <c r="I28" s="103"/>
      <c r="J28" s="103"/>
      <c r="K28" s="103"/>
      <c r="L28" s="103"/>
      <c r="M28" s="103"/>
      <c r="N28" s="103"/>
      <c r="O28" s="103"/>
      <c r="P28" s="104"/>
      <c r="Q28" s="104"/>
      <c r="R28" s="104"/>
      <c r="S28" s="105"/>
      <c r="T28" s="105"/>
      <c r="U28" s="105"/>
    </row>
    <row r="29" spans="1:21" s="102" customFormat="1" ht="18" x14ac:dyDescent="0.65">
      <c r="A29" s="122"/>
      <c r="B29" s="123" t="s">
        <v>197</v>
      </c>
      <c r="C29" s="221">
        <f>(C28*7.4805/F23)</f>
        <v>185.79903725042911</v>
      </c>
      <c r="D29" s="341" t="s">
        <v>198</v>
      </c>
      <c r="E29" s="342"/>
      <c r="F29" s="342"/>
      <c r="G29" s="342"/>
      <c r="H29" s="343"/>
      <c r="I29" s="103"/>
      <c r="J29" s="103"/>
      <c r="K29" s="103"/>
      <c r="L29" s="103"/>
      <c r="M29" s="103"/>
      <c r="N29" s="103"/>
      <c r="O29" s="103"/>
      <c r="P29" s="104"/>
      <c r="Q29" s="104"/>
      <c r="R29" s="104"/>
      <c r="S29" s="105"/>
      <c r="T29" s="105"/>
      <c r="U29" s="105"/>
    </row>
    <row r="30" spans="1:21" s="102" customFormat="1" ht="33.75" x14ac:dyDescent="0.5">
      <c r="A30" s="124" t="s">
        <v>199</v>
      </c>
      <c r="B30" s="222" t="s">
        <v>200</v>
      </c>
      <c r="C30" s="69">
        <f>ROUNDUP(C29*'Data Inputs'!C40*24,-2)</f>
        <v>62500</v>
      </c>
      <c r="D30" s="344" t="str">
        <f>"gallons (storage needed to store a "&amp; 'Data Inputs'!C40 &amp;" day reagent supply rounded up to the nearest 100 gallons)"</f>
        <v>gallons (storage needed to store a 14 day reagent supply rounded up to the nearest 100 gallons)</v>
      </c>
      <c r="E30" s="345"/>
      <c r="F30" s="345"/>
      <c r="G30" s="345"/>
      <c r="H30" s="346"/>
      <c r="I30" s="103"/>
      <c r="J30" s="103"/>
      <c r="K30" s="103"/>
      <c r="L30" s="103"/>
      <c r="M30" s="103"/>
      <c r="N30" s="103"/>
      <c r="O30" s="103"/>
      <c r="P30" s="104"/>
      <c r="Q30" s="104"/>
      <c r="R30" s="104"/>
      <c r="S30" s="105"/>
      <c r="T30" s="105"/>
      <c r="U30" s="105"/>
    </row>
    <row r="31" spans="1:21" s="102" customFormat="1" ht="15.75" x14ac:dyDescent="0.5">
      <c r="A31" s="109"/>
      <c r="B31" s="109"/>
      <c r="C31" s="125"/>
      <c r="I31" s="103"/>
      <c r="J31" s="103"/>
      <c r="K31" s="103"/>
      <c r="L31" s="103"/>
      <c r="M31" s="103"/>
      <c r="N31" s="103"/>
      <c r="O31" s="103"/>
      <c r="P31" s="104"/>
      <c r="Q31" s="104"/>
      <c r="R31" s="104"/>
      <c r="S31" s="105"/>
      <c r="T31" s="105"/>
      <c r="U31" s="105"/>
    </row>
    <row r="32" spans="1:21" s="102" customFormat="1" ht="15.75" x14ac:dyDescent="0.5">
      <c r="A32" s="110" t="s">
        <v>201</v>
      </c>
      <c r="B32" s="110"/>
      <c r="I32" s="103"/>
      <c r="J32" s="103"/>
      <c r="K32" s="103"/>
      <c r="L32" s="103"/>
      <c r="M32" s="103"/>
      <c r="N32" s="103"/>
      <c r="O32" s="103"/>
      <c r="P32" s="104"/>
      <c r="Q32" s="104"/>
      <c r="R32" s="104"/>
      <c r="S32" s="105"/>
      <c r="T32" s="105"/>
      <c r="U32" s="105"/>
    </row>
    <row r="33" spans="1:21" s="102" customFormat="1" ht="15.75" x14ac:dyDescent="0.5">
      <c r="A33" s="110"/>
      <c r="B33" s="110"/>
      <c r="I33" s="103"/>
      <c r="J33" s="103"/>
      <c r="K33" s="103"/>
      <c r="L33" s="103"/>
      <c r="M33" s="103"/>
      <c r="N33" s="103"/>
      <c r="O33" s="103"/>
      <c r="P33" s="104"/>
      <c r="Q33" s="104"/>
      <c r="R33" s="104"/>
      <c r="S33" s="105"/>
      <c r="T33" s="105"/>
      <c r="U33" s="105"/>
    </row>
    <row r="34" spans="1:21" s="102" customFormat="1" ht="15.75" x14ac:dyDescent="0.5">
      <c r="A34" s="113" t="s">
        <v>155</v>
      </c>
      <c r="B34" s="113" t="s">
        <v>156</v>
      </c>
      <c r="C34" s="251" t="s">
        <v>157</v>
      </c>
      <c r="D34" s="126"/>
      <c r="I34" s="103"/>
      <c r="J34" s="103"/>
      <c r="K34" s="103"/>
      <c r="L34" s="103"/>
      <c r="M34" s="103"/>
      <c r="N34" s="103"/>
      <c r="O34" s="103"/>
      <c r="P34" s="104"/>
      <c r="Q34" s="104"/>
      <c r="R34" s="104"/>
      <c r="S34" s="105"/>
      <c r="T34" s="105"/>
      <c r="U34" s="105"/>
    </row>
    <row r="35" spans="1:21" s="102" customFormat="1" ht="18" customHeight="1" x14ac:dyDescent="0.5">
      <c r="A35" s="114" t="s">
        <v>202</v>
      </c>
      <c r="B35" s="114" t="s">
        <v>203</v>
      </c>
      <c r="C35" s="160">
        <f>ROUND((('Data Inputs'!C50/100)*((1+'Data Inputs'!C50/100)^'Data Inputs'!C41))/(((1+'Data Inputs'!C50/100)^'Data Inputs'!C41)-1),4)</f>
        <v>9.4399999999999998E-2</v>
      </c>
      <c r="I35" s="103"/>
      <c r="J35" s="103"/>
      <c r="K35" s="103"/>
      <c r="L35" s="103"/>
      <c r="M35" s="103"/>
      <c r="N35" s="103"/>
      <c r="O35" s="103"/>
      <c r="P35" s="104"/>
      <c r="Q35" s="104"/>
      <c r="R35" s="104"/>
      <c r="S35" s="105"/>
      <c r="T35" s="105"/>
      <c r="U35" s="105"/>
    </row>
    <row r="36" spans="1:21" s="102" customFormat="1" ht="15.75" x14ac:dyDescent="0.5">
      <c r="A36" s="122"/>
      <c r="B36" s="122" t="s">
        <v>204</v>
      </c>
      <c r="C36" s="161"/>
      <c r="I36" s="103"/>
      <c r="J36" s="103"/>
      <c r="K36" s="103"/>
      <c r="L36" s="103"/>
      <c r="M36" s="103"/>
      <c r="N36" s="103"/>
      <c r="O36" s="103"/>
      <c r="P36" s="104"/>
      <c r="Q36" s="104"/>
      <c r="R36" s="104"/>
      <c r="S36" s="105"/>
      <c r="T36" s="105"/>
      <c r="U36" s="105"/>
    </row>
    <row r="37" spans="1:21" s="102" customFormat="1" ht="15.75" x14ac:dyDescent="0.5">
      <c r="A37" s="109"/>
      <c r="B37" s="109"/>
      <c r="I37" s="103"/>
      <c r="J37" s="103"/>
      <c r="K37" s="103"/>
      <c r="L37" s="103"/>
      <c r="M37" s="103"/>
      <c r="N37" s="103"/>
      <c r="O37" s="103"/>
      <c r="P37" s="104"/>
      <c r="Q37" s="104"/>
      <c r="R37" s="104"/>
      <c r="S37" s="105"/>
      <c r="T37" s="105"/>
      <c r="U37" s="105"/>
    </row>
    <row r="38" spans="1:21" s="102" customFormat="1" ht="15.75" x14ac:dyDescent="0.5">
      <c r="A38" s="99" t="s">
        <v>155</v>
      </c>
      <c r="B38" s="99" t="s">
        <v>156</v>
      </c>
      <c r="C38" s="99" t="s">
        <v>157</v>
      </c>
      <c r="D38" s="99" t="s">
        <v>158</v>
      </c>
      <c r="I38" s="103"/>
      <c r="J38" s="103"/>
      <c r="K38" s="103"/>
      <c r="L38" s="103"/>
      <c r="M38" s="103"/>
      <c r="N38" s="103"/>
      <c r="O38" s="103"/>
      <c r="P38" s="104"/>
      <c r="Q38" s="104"/>
      <c r="R38" s="104"/>
      <c r="S38" s="105"/>
      <c r="T38" s="105"/>
      <c r="U38" s="105"/>
    </row>
    <row r="39" spans="1:21" s="102" customFormat="1" ht="15.75" x14ac:dyDescent="0.5">
      <c r="A39" s="127" t="s">
        <v>205</v>
      </c>
      <c r="B39" s="127"/>
      <c r="C39" s="70"/>
      <c r="D39" s="154"/>
      <c r="I39" s="103"/>
      <c r="J39" s="103"/>
      <c r="K39" s="103"/>
      <c r="L39" s="103"/>
      <c r="M39" s="103"/>
      <c r="N39" s="103"/>
      <c r="O39" s="103"/>
      <c r="P39" s="104"/>
      <c r="Q39" s="104"/>
      <c r="R39" s="104"/>
      <c r="S39" s="105"/>
      <c r="T39" s="105"/>
      <c r="U39" s="105"/>
    </row>
    <row r="40" spans="1:21" s="102" customFormat="1" ht="18.75" customHeight="1" x14ac:dyDescent="0.5">
      <c r="A40" s="116" t="s">
        <v>206</v>
      </c>
      <c r="B40" s="129" t="s">
        <v>207</v>
      </c>
      <c r="C40" s="223">
        <f>(0.47*'Data Inputs'!C33*'Data Inputs'!C35*'SNCR Design Parameters'!C6)/'Data Inputs'!C18</f>
        <v>51.219377999999992</v>
      </c>
      <c r="D40" s="152" t="s">
        <v>208</v>
      </c>
      <c r="I40" s="103"/>
      <c r="J40" s="103"/>
      <c r="K40" s="103"/>
      <c r="L40" s="103"/>
      <c r="M40" s="103"/>
      <c r="N40" s="103"/>
      <c r="O40" s="103"/>
      <c r="P40" s="104"/>
      <c r="Q40" s="104"/>
      <c r="R40" s="104"/>
      <c r="S40" s="105"/>
      <c r="T40" s="105"/>
      <c r="U40" s="105"/>
    </row>
    <row r="41" spans="1:21" s="102" customFormat="1" ht="15.75" x14ac:dyDescent="0.5">
      <c r="A41" s="122"/>
      <c r="B41" s="122"/>
      <c r="C41" s="147"/>
      <c r="D41" s="151"/>
      <c r="I41" s="103"/>
      <c r="J41" s="103"/>
      <c r="K41" s="103"/>
      <c r="L41" s="103"/>
      <c r="M41" s="103"/>
      <c r="N41" s="103"/>
      <c r="O41" s="103"/>
      <c r="P41" s="104"/>
      <c r="Q41" s="104"/>
      <c r="R41" s="104"/>
      <c r="S41" s="105"/>
      <c r="T41" s="105"/>
      <c r="U41" s="105"/>
    </row>
    <row r="42" spans="1:21" s="102" customFormat="1" ht="15.75" x14ac:dyDescent="0.5">
      <c r="A42" s="127" t="s">
        <v>209</v>
      </c>
      <c r="B42" s="127"/>
      <c r="C42" s="148"/>
      <c r="D42" s="150"/>
      <c r="I42" s="103"/>
      <c r="J42" s="103"/>
      <c r="K42" s="103"/>
      <c r="L42" s="103"/>
      <c r="M42" s="103"/>
      <c r="N42" s="103"/>
      <c r="O42" s="103"/>
      <c r="P42" s="104"/>
      <c r="Q42" s="104"/>
      <c r="R42" s="104"/>
      <c r="S42" s="105"/>
      <c r="T42" s="105"/>
      <c r="U42" s="105"/>
    </row>
    <row r="43" spans="1:21" s="102" customFormat="1" ht="18" x14ac:dyDescent="0.5">
      <c r="A43" s="128" t="s">
        <v>210</v>
      </c>
      <c r="B43" s="129" t="s">
        <v>211</v>
      </c>
      <c r="C43" s="71">
        <f xml:space="preserve"> (C28/8.345)*(('Data Inputs'!C37/'Data Inputs'!C39)-1)</f>
        <v>316.68545629774866</v>
      </c>
      <c r="D43" s="152" t="s">
        <v>212</v>
      </c>
      <c r="I43" s="103"/>
      <c r="J43" s="103"/>
      <c r="K43" s="103"/>
      <c r="L43" s="103"/>
      <c r="M43" s="103"/>
      <c r="N43" s="103"/>
      <c r="O43" s="103"/>
      <c r="P43" s="104"/>
      <c r="Q43" s="104"/>
      <c r="R43" s="104"/>
      <c r="S43" s="105"/>
      <c r="T43" s="105"/>
      <c r="U43" s="105"/>
    </row>
    <row r="44" spans="1:21" s="102" customFormat="1" ht="15.75" x14ac:dyDescent="0.5">
      <c r="A44" s="122"/>
      <c r="B44" s="122"/>
      <c r="C44" s="147"/>
      <c r="D44" s="151"/>
      <c r="I44" s="103"/>
      <c r="J44" s="103"/>
      <c r="K44" s="103"/>
      <c r="L44" s="103"/>
      <c r="M44" s="103"/>
      <c r="N44" s="103"/>
      <c r="O44" s="103"/>
      <c r="P44" s="104"/>
      <c r="Q44" s="104"/>
      <c r="R44" s="104"/>
      <c r="S44" s="105"/>
      <c r="T44" s="105"/>
      <c r="U44" s="105"/>
    </row>
    <row r="45" spans="1:21" s="102" customFormat="1" ht="15.75" x14ac:dyDescent="0.5">
      <c r="A45" s="127" t="s">
        <v>213</v>
      </c>
      <c r="B45" s="127"/>
      <c r="C45" s="148"/>
      <c r="D45" s="150"/>
      <c r="I45" s="103"/>
      <c r="J45" s="103"/>
      <c r="K45" s="103"/>
      <c r="L45" s="103"/>
      <c r="M45" s="103"/>
      <c r="N45" s="103"/>
      <c r="O45" s="103"/>
      <c r="P45" s="104"/>
      <c r="Q45" s="104"/>
      <c r="R45" s="104"/>
      <c r="S45" s="105"/>
      <c r="T45" s="105"/>
      <c r="U45" s="105"/>
    </row>
    <row r="46" spans="1:21" s="102" customFormat="1" ht="31.5" x14ac:dyDescent="0.5">
      <c r="A46" s="116" t="s">
        <v>214</v>
      </c>
      <c r="B46" s="129" t="s">
        <v>215</v>
      </c>
      <c r="C46" s="149">
        <f>(900*C26*((100/'Data Inputs'!C39)-1))/1000000</f>
        <v>3.2672613536622479</v>
      </c>
      <c r="D46" s="152" t="s">
        <v>160</v>
      </c>
      <c r="I46" s="103"/>
      <c r="J46" s="103"/>
      <c r="K46" s="103"/>
      <c r="L46" s="103"/>
      <c r="M46" s="103"/>
      <c r="N46" s="103"/>
      <c r="O46" s="103"/>
      <c r="P46" s="104"/>
      <c r="Q46" s="104"/>
      <c r="R46" s="104"/>
      <c r="S46" s="105"/>
      <c r="T46" s="105"/>
      <c r="U46" s="105"/>
    </row>
    <row r="47" spans="1:21" s="102" customFormat="1" ht="15.75" x14ac:dyDescent="0.5">
      <c r="A47" s="122"/>
      <c r="B47" s="122"/>
      <c r="C47" s="147"/>
      <c r="D47" s="151"/>
      <c r="I47" s="103"/>
      <c r="J47" s="103"/>
      <c r="K47" s="103"/>
      <c r="L47" s="103"/>
      <c r="M47" s="103"/>
      <c r="N47" s="103"/>
      <c r="O47" s="103"/>
      <c r="P47" s="104"/>
      <c r="Q47" s="104"/>
      <c r="R47" s="104"/>
      <c r="S47" s="105"/>
      <c r="T47" s="105"/>
      <c r="U47" s="105"/>
    </row>
    <row r="48" spans="1:21" s="102" customFormat="1" ht="15.75" x14ac:dyDescent="0.5">
      <c r="A48" s="127" t="s">
        <v>216</v>
      </c>
      <c r="B48" s="127"/>
      <c r="C48" s="148"/>
      <c r="D48" s="150"/>
      <c r="I48" s="103"/>
      <c r="J48" s="103"/>
      <c r="K48" s="103"/>
      <c r="L48" s="103"/>
      <c r="M48" s="103"/>
      <c r="N48" s="103"/>
      <c r="O48" s="103"/>
      <c r="P48" s="104"/>
      <c r="Q48" s="104"/>
      <c r="R48" s="104"/>
      <c r="S48" s="105"/>
      <c r="T48" s="105"/>
      <c r="U48" s="105"/>
    </row>
    <row r="49" spans="1:21" s="102" customFormat="1" ht="29.25" customHeight="1" x14ac:dyDescent="0.5">
      <c r="A49" s="129" t="s">
        <v>217</v>
      </c>
      <c r="B49" s="129" t="s">
        <v>218</v>
      </c>
      <c r="C49" s="223">
        <f>IF('Data Inputs'!P17=2,(C46*('Data Inputs'!I15/100)*(1/'Data Inputs'!C12)*1000000), 0)</f>
        <v>21.618860531823621</v>
      </c>
      <c r="D49" s="152" t="s">
        <v>172</v>
      </c>
      <c r="E49" s="334" t="str">
        <f>IF('Data Inputs'!P17&lt;&gt;2,"Not applicable - Ash disposal cost applies only to coal-fired boilers", " ")</f>
        <v xml:space="preserve"> </v>
      </c>
      <c r="F49" s="334"/>
      <c r="G49" s="334"/>
      <c r="H49" s="334"/>
      <c r="I49" s="103"/>
      <c r="J49" s="103"/>
      <c r="K49" s="103"/>
      <c r="L49" s="103"/>
      <c r="M49" s="103"/>
      <c r="N49" s="103"/>
      <c r="O49" s="103"/>
      <c r="P49" s="104"/>
      <c r="Q49" s="104"/>
      <c r="R49" s="104"/>
      <c r="S49" s="105"/>
      <c r="T49" s="105"/>
      <c r="U49" s="105"/>
    </row>
    <row r="50" spans="1:21" x14ac:dyDescent="0.45">
      <c r="A50" s="130"/>
      <c r="B50" s="130"/>
      <c r="C50" s="72"/>
      <c r="D50" s="153"/>
    </row>
    <row r="51" spans="1:21" ht="15.75" x14ac:dyDescent="0.45">
      <c r="B51" s="131"/>
    </row>
  </sheetData>
  <mergeCells count="13">
    <mergeCell ref="A1:H1"/>
    <mergeCell ref="A3:H3"/>
    <mergeCell ref="E49:H49"/>
    <mergeCell ref="E15:H15"/>
    <mergeCell ref="D25:H25"/>
    <mergeCell ref="D26:H26"/>
    <mergeCell ref="D28:H28"/>
    <mergeCell ref="D29:H29"/>
    <mergeCell ref="D30:H30"/>
    <mergeCell ref="C22:E22"/>
    <mergeCell ref="E16:H16"/>
    <mergeCell ref="E17:H18"/>
    <mergeCell ref="A20:D20"/>
  </mergeCells>
  <pageMargins left="0.7" right="0.7" top="0.75" bottom="0.75" header="0.3" footer="0.3"/>
  <pageSetup scale="75" orientation="landscape" r:id="rId1"/>
  <rowBreaks count="1" manualBreakCount="1">
    <brk id="20"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X87"/>
  <sheetViews>
    <sheetView showGridLines="0" zoomScaleNormal="100" zoomScaleSheetLayoutView="100" workbookViewId="0">
      <selection activeCell="A88" sqref="A88"/>
    </sheetView>
  </sheetViews>
  <sheetFormatPr defaultRowHeight="14.25" x14ac:dyDescent="0.45"/>
  <cols>
    <col min="1" max="1" width="41.86328125" customWidth="1"/>
    <col min="2" max="2" width="33.3984375" customWidth="1"/>
    <col min="3" max="3" width="25.1328125" customWidth="1"/>
    <col min="4" max="4" width="16.86328125" customWidth="1"/>
    <col min="5" max="5" width="17.1328125" style="49" hidden="1" customWidth="1"/>
    <col min="6" max="6" width="17" style="49" hidden="1" customWidth="1"/>
    <col min="7" max="7" width="22.3984375" style="49" hidden="1" customWidth="1"/>
    <col min="8" max="12" width="9.1328125" style="49" hidden="1" customWidth="1"/>
    <col min="13" max="16" width="0" style="49" hidden="1" customWidth="1"/>
    <col min="17" max="23" width="9.1328125" style="49"/>
    <col min="24" max="24" width="9.1328125" style="41"/>
  </cols>
  <sheetData>
    <row r="1" spans="1:24" s="15" customFormat="1" ht="23.25" x14ac:dyDescent="0.35">
      <c r="A1" s="319" t="s">
        <v>219</v>
      </c>
      <c r="B1" s="319"/>
      <c r="C1" s="319"/>
      <c r="D1" s="319"/>
      <c r="E1" s="60"/>
      <c r="F1" s="60"/>
      <c r="G1" s="60"/>
      <c r="H1" s="60"/>
      <c r="I1" s="60"/>
      <c r="J1" s="60"/>
      <c r="K1" s="60"/>
      <c r="L1" s="60"/>
      <c r="M1" s="60"/>
      <c r="N1" s="60"/>
      <c r="O1" s="60"/>
      <c r="P1" s="60"/>
      <c r="Q1" s="60"/>
      <c r="R1" s="60"/>
      <c r="S1" s="60"/>
      <c r="T1" s="60"/>
      <c r="U1" s="60"/>
      <c r="V1" s="60"/>
      <c r="W1" s="60"/>
      <c r="X1" s="56"/>
    </row>
    <row r="3" spans="1:24" ht="18.75" x14ac:dyDescent="0.3">
      <c r="A3" s="359" t="s">
        <v>220</v>
      </c>
      <c r="B3" s="359"/>
      <c r="C3" s="359"/>
      <c r="D3" s="359"/>
    </row>
    <row r="4" spans="1:24" s="18" customFormat="1" ht="15.75" x14ac:dyDescent="0.25">
      <c r="E4" s="61"/>
      <c r="F4" s="61"/>
      <c r="G4" s="61"/>
      <c r="H4" s="61"/>
      <c r="I4" s="61"/>
      <c r="J4" s="61"/>
      <c r="K4" s="61"/>
      <c r="L4" s="61"/>
      <c r="M4" s="61"/>
      <c r="N4" s="61"/>
      <c r="O4" s="61"/>
      <c r="P4" s="61"/>
      <c r="Q4" s="61"/>
      <c r="R4" s="61"/>
      <c r="S4" s="61"/>
      <c r="T4" s="61"/>
      <c r="U4" s="61"/>
      <c r="V4" s="61"/>
      <c r="W4" s="61"/>
      <c r="X4" s="57"/>
    </row>
    <row r="5" spans="1:24" s="24" customFormat="1" ht="15.75" x14ac:dyDescent="0.25">
      <c r="A5" s="356" t="s">
        <v>221</v>
      </c>
      <c r="B5" s="356"/>
      <c r="C5" s="356"/>
      <c r="D5" s="356"/>
      <c r="E5" s="62"/>
      <c r="F5" s="62"/>
      <c r="G5" s="62"/>
      <c r="H5" s="62"/>
      <c r="I5" s="62"/>
      <c r="J5" s="62"/>
      <c r="K5" s="62"/>
      <c r="L5" s="62"/>
      <c r="M5" s="62"/>
      <c r="N5" s="62"/>
      <c r="O5" s="62"/>
      <c r="P5" s="62"/>
      <c r="Q5" s="62"/>
      <c r="R5" s="62"/>
      <c r="S5" s="62"/>
      <c r="T5" s="62"/>
      <c r="U5" s="62"/>
      <c r="V5" s="62"/>
      <c r="W5" s="62"/>
      <c r="X5" s="58"/>
    </row>
    <row r="6" spans="1:24" s="24" customFormat="1" ht="18.75" x14ac:dyDescent="0.35">
      <c r="A6" s="355" t="s">
        <v>222</v>
      </c>
      <c r="B6" s="355"/>
      <c r="C6" s="355"/>
      <c r="D6" s="355"/>
      <c r="E6" s="62"/>
      <c r="F6" s="62"/>
      <c r="G6" s="62"/>
      <c r="H6" s="62"/>
      <c r="I6" s="62"/>
      <c r="J6" s="62"/>
      <c r="K6" s="62"/>
      <c r="L6" s="62"/>
      <c r="M6" s="62"/>
      <c r="N6" s="62"/>
      <c r="O6" s="62"/>
      <c r="P6" s="62"/>
      <c r="Q6" s="62"/>
      <c r="R6" s="62"/>
      <c r="S6" s="62"/>
      <c r="T6" s="62"/>
      <c r="U6" s="62"/>
      <c r="V6" s="62"/>
      <c r="W6" s="62"/>
      <c r="X6" s="58"/>
    </row>
    <row r="7" spans="1:24" s="24" customFormat="1" ht="15.75" x14ac:dyDescent="0.25">
      <c r="A7" s="44" t="s">
        <v>223</v>
      </c>
      <c r="B7" s="44"/>
      <c r="C7" s="44"/>
      <c r="D7" s="44"/>
      <c r="E7" s="62"/>
      <c r="F7" s="62"/>
      <c r="G7" s="62"/>
      <c r="H7" s="62"/>
      <c r="I7" s="62"/>
      <c r="J7" s="62"/>
      <c r="K7" s="62"/>
      <c r="L7" s="62"/>
      <c r="M7" s="62"/>
      <c r="N7" s="62"/>
      <c r="O7" s="62"/>
      <c r="P7" s="62"/>
      <c r="Q7" s="62"/>
      <c r="R7" s="62"/>
      <c r="S7" s="62"/>
      <c r="T7" s="62"/>
      <c r="U7" s="62"/>
      <c r="V7" s="62"/>
      <c r="W7" s="62"/>
      <c r="X7" s="58"/>
    </row>
    <row r="8" spans="1:24" s="24" customFormat="1" ht="18.75" x14ac:dyDescent="0.35">
      <c r="A8" s="355" t="s">
        <v>224</v>
      </c>
      <c r="B8" s="355"/>
      <c r="C8" s="355"/>
      <c r="D8" s="355"/>
      <c r="E8" s="62"/>
      <c r="F8" s="62"/>
      <c r="G8" s="62"/>
      <c r="H8" s="62"/>
      <c r="I8" s="62"/>
      <c r="J8" s="62"/>
      <c r="K8" s="62"/>
      <c r="L8" s="62"/>
      <c r="M8" s="62"/>
      <c r="N8" s="62"/>
      <c r="O8" s="62"/>
      <c r="P8" s="62"/>
      <c r="Q8" s="62"/>
      <c r="R8" s="62"/>
      <c r="S8" s="62"/>
      <c r="T8" s="62"/>
      <c r="U8" s="62"/>
      <c r="V8" s="62"/>
      <c r="W8" s="62"/>
      <c r="X8" s="58"/>
    </row>
    <row r="9" spans="1:24" s="18" customFormat="1" ht="15.75" x14ac:dyDescent="0.25">
      <c r="E9" s="61"/>
      <c r="F9" s="61"/>
      <c r="G9" s="61"/>
      <c r="H9" s="61"/>
      <c r="I9" s="61"/>
      <c r="J9" s="61"/>
      <c r="K9" s="61"/>
      <c r="L9" s="61"/>
      <c r="M9" s="61"/>
      <c r="N9" s="61"/>
      <c r="O9" s="61"/>
      <c r="P9" s="61"/>
      <c r="Q9" s="61"/>
      <c r="R9" s="61"/>
      <c r="S9" s="61"/>
      <c r="T9" s="61"/>
      <c r="U9" s="61"/>
      <c r="V9" s="61"/>
      <c r="W9" s="61"/>
      <c r="X9" s="57"/>
    </row>
    <row r="10" spans="1:24" s="18" customFormat="1" ht="18.75" x14ac:dyDescent="0.35">
      <c r="A10" s="19" t="s">
        <v>225</v>
      </c>
      <c r="B10" s="143">
        <f>B27</f>
        <v>3689655.2602837631</v>
      </c>
      <c r="C10" s="46" t="str">
        <f>"in "&amp;'Data Inputs'!$C$48 &amp; " dollars"</f>
        <v>in 2019 dollars</v>
      </c>
      <c r="E10" s="61"/>
      <c r="F10" s="61"/>
      <c r="G10" s="61"/>
      <c r="H10" s="61"/>
      <c r="I10" s="61"/>
      <c r="J10" s="61"/>
      <c r="K10" s="61"/>
      <c r="L10" s="61"/>
      <c r="M10" s="61"/>
      <c r="N10" s="61"/>
      <c r="O10" s="61"/>
      <c r="P10" s="61"/>
      <c r="Q10" s="61"/>
      <c r="R10" s="61"/>
      <c r="S10" s="61"/>
      <c r="T10" s="61"/>
      <c r="U10" s="61"/>
      <c r="V10" s="61"/>
      <c r="W10" s="61"/>
      <c r="X10" s="57"/>
    </row>
    <row r="11" spans="1:24" s="18" customFormat="1" ht="18.75" x14ac:dyDescent="0.35">
      <c r="A11" s="20" t="s">
        <v>226</v>
      </c>
      <c r="B11" s="144">
        <f>B36</f>
        <v>0</v>
      </c>
      <c r="C11" s="48" t="str">
        <f>"in "&amp;'Data Inputs'!$C$48 &amp; " dollars"</f>
        <v>in 2019 dollars</v>
      </c>
      <c r="E11" s="61"/>
      <c r="F11" s="61"/>
      <c r="G11" s="61"/>
      <c r="H11" s="61"/>
      <c r="I11" s="61"/>
      <c r="J11" s="61"/>
      <c r="K11" s="61"/>
      <c r="L11" s="61"/>
      <c r="M11" s="61"/>
      <c r="N11" s="61"/>
      <c r="O11" s="61"/>
      <c r="P11" s="61"/>
      <c r="Q11" s="61"/>
      <c r="R11" s="61"/>
      <c r="S11" s="61"/>
      <c r="T11" s="61"/>
      <c r="U11" s="61"/>
      <c r="V11" s="61"/>
      <c r="W11" s="61"/>
      <c r="X11" s="57"/>
    </row>
    <row r="12" spans="1:24" s="18" customFormat="1" ht="18.75" x14ac:dyDescent="0.35">
      <c r="A12" s="45" t="s">
        <v>227</v>
      </c>
      <c r="B12" s="145">
        <f>B49</f>
        <v>4408602.7231171029</v>
      </c>
      <c r="C12" s="47" t="str">
        <f>"in "&amp;'Data Inputs'!$C$48 &amp; " dollars"</f>
        <v>in 2019 dollars</v>
      </c>
      <c r="E12" s="61"/>
      <c r="F12" s="61"/>
      <c r="G12" s="61"/>
      <c r="H12" s="61"/>
      <c r="I12" s="61"/>
      <c r="J12" s="61"/>
      <c r="K12" s="61"/>
      <c r="L12" s="61"/>
      <c r="M12" s="61"/>
      <c r="N12" s="61"/>
      <c r="O12" s="61"/>
      <c r="P12" s="61"/>
      <c r="Q12" s="61"/>
      <c r="R12" s="61"/>
      <c r="S12" s="61"/>
      <c r="T12" s="61"/>
      <c r="U12" s="61"/>
      <c r="V12" s="61"/>
      <c r="W12" s="61"/>
      <c r="X12" s="57"/>
    </row>
    <row r="13" spans="1:24" s="18" customFormat="1" ht="15.75" x14ac:dyDescent="0.25">
      <c r="A13" s="21" t="s">
        <v>228</v>
      </c>
      <c r="B13" s="146">
        <f>1.3*(SUM(B10:B12))</f>
        <v>10527735.378421126</v>
      </c>
      <c r="C13" s="22" t="str">
        <f>"in "&amp;'Data Inputs'!$C$48 &amp; " dollars"</f>
        <v>in 2019 dollars</v>
      </c>
      <c r="E13" s="61"/>
      <c r="F13" s="61"/>
      <c r="G13" s="61"/>
      <c r="H13" s="61"/>
      <c r="I13" s="61"/>
      <c r="J13" s="61"/>
      <c r="K13" s="61"/>
      <c r="L13" s="61"/>
      <c r="M13" s="61"/>
      <c r="N13" s="61"/>
      <c r="O13" s="61"/>
      <c r="P13" s="61"/>
      <c r="Q13" s="61"/>
      <c r="R13" s="61"/>
      <c r="S13" s="61"/>
      <c r="T13" s="61"/>
      <c r="U13" s="61"/>
      <c r="V13" s="61"/>
      <c r="W13" s="61"/>
      <c r="X13" s="57"/>
    </row>
    <row r="14" spans="1:24" ht="24.75" customHeight="1" x14ac:dyDescent="0.25">
      <c r="A14" s="364" t="str">
        <f>IF(AND('Data Inputs'!P17=2,'Data Inputs'!V11=3),"* This factor applies because the boiler burns bituminous coal and emits equal to or greater than 0.3lb/MMBtu of sulfur dioxide. ", "* Not applicable - This factor applies only to coal-fired boilers that burn bituminous coal and emits equal to or greater than 0.3lb/MMBtu of sulfur dioxide.")</f>
        <v>* Not applicable - This factor applies only to coal-fired boilers that burn bituminous coal and emits equal to or greater than 0.3lb/MMBtu of sulfur dioxide.</v>
      </c>
      <c r="B14" s="364"/>
      <c r="C14" s="364"/>
    </row>
    <row r="15" spans="1:24" ht="15" x14ac:dyDescent="0.25">
      <c r="C15" s="11"/>
    </row>
    <row r="16" spans="1:24" ht="15" x14ac:dyDescent="0.25">
      <c r="C16" s="11"/>
    </row>
    <row r="17" spans="1:24" s="18" customFormat="1" ht="18.75" x14ac:dyDescent="0.35">
      <c r="A17" s="360" t="s">
        <v>229</v>
      </c>
      <c r="B17" s="361"/>
      <c r="C17" s="361"/>
      <c r="D17" s="362"/>
      <c r="E17" s="61"/>
      <c r="F17" s="61"/>
      <c r="G17" s="61"/>
      <c r="H17" s="61"/>
      <c r="I17" s="61"/>
      <c r="J17" s="61"/>
      <c r="K17" s="61"/>
      <c r="L17" s="61"/>
      <c r="M17" s="61"/>
      <c r="N17" s="61"/>
      <c r="O17" s="61"/>
      <c r="P17" s="61"/>
      <c r="Q17" s="61"/>
      <c r="R17" s="61"/>
      <c r="S17" s="61"/>
      <c r="T17" s="61"/>
      <c r="U17" s="61"/>
      <c r="V17" s="61"/>
      <c r="W17" s="61"/>
      <c r="X17" s="57"/>
    </row>
    <row r="18" spans="1:24" s="18" customFormat="1" ht="15.75" x14ac:dyDescent="0.25">
      <c r="A18" s="363" t="s">
        <v>230</v>
      </c>
      <c r="B18" s="363"/>
      <c r="C18" s="363"/>
      <c r="D18" s="363"/>
      <c r="E18" s="61"/>
      <c r="F18" s="61"/>
      <c r="G18" s="61"/>
      <c r="H18" s="61"/>
      <c r="I18" s="61"/>
      <c r="J18" s="61"/>
      <c r="K18" s="61"/>
      <c r="L18" s="61"/>
      <c r="M18" s="61"/>
      <c r="N18" s="61"/>
      <c r="O18" s="61"/>
      <c r="P18" s="61"/>
      <c r="Q18" s="61"/>
      <c r="R18" s="61"/>
      <c r="S18" s="61"/>
      <c r="T18" s="61"/>
      <c r="U18" s="61"/>
      <c r="V18" s="61"/>
      <c r="W18" s="61"/>
      <c r="X18" s="57"/>
    </row>
    <row r="19" spans="1:24" s="18" customFormat="1" ht="19.5" x14ac:dyDescent="0.35">
      <c r="A19" s="355" t="s">
        <v>231</v>
      </c>
      <c r="B19" s="355"/>
      <c r="C19" s="355"/>
      <c r="D19" s="355"/>
      <c r="E19" s="61"/>
      <c r="F19" s="61"/>
      <c r="G19" s="61"/>
      <c r="H19" s="61"/>
      <c r="I19" s="61"/>
      <c r="J19" s="61"/>
      <c r="K19" s="61"/>
      <c r="L19" s="61"/>
      <c r="M19" s="61"/>
      <c r="N19" s="61"/>
      <c r="O19" s="61"/>
      <c r="P19" s="61"/>
      <c r="Q19" s="61"/>
      <c r="R19" s="61"/>
      <c r="S19" s="61"/>
      <c r="T19" s="61"/>
      <c r="U19" s="61"/>
      <c r="V19" s="61"/>
      <c r="W19" s="61"/>
      <c r="X19" s="57"/>
    </row>
    <row r="20" spans="1:24" s="18" customFormat="1" ht="15.75" x14ac:dyDescent="0.25">
      <c r="A20" s="356" t="s">
        <v>232</v>
      </c>
      <c r="B20" s="356"/>
      <c r="C20" s="356"/>
      <c r="D20" s="356"/>
      <c r="E20" s="61"/>
      <c r="F20" s="61"/>
      <c r="G20" s="61"/>
      <c r="H20" s="61"/>
      <c r="I20" s="61"/>
      <c r="J20" s="61"/>
      <c r="K20" s="61"/>
      <c r="L20" s="61"/>
      <c r="M20" s="61"/>
      <c r="N20" s="61"/>
      <c r="O20" s="61"/>
      <c r="P20" s="61"/>
      <c r="Q20" s="61"/>
      <c r="R20" s="61"/>
      <c r="S20" s="61"/>
      <c r="T20" s="61"/>
      <c r="U20" s="61"/>
      <c r="V20" s="61"/>
      <c r="W20" s="61"/>
      <c r="X20" s="57"/>
    </row>
    <row r="21" spans="1:24" s="18" customFormat="1" ht="19.5" x14ac:dyDescent="0.35">
      <c r="A21" s="355" t="s">
        <v>233</v>
      </c>
      <c r="B21" s="355"/>
      <c r="C21" s="355"/>
      <c r="D21" s="355"/>
      <c r="E21" s="61"/>
      <c r="F21" s="61"/>
      <c r="G21" s="61"/>
      <c r="H21" s="61"/>
      <c r="I21" s="61"/>
      <c r="J21" s="61"/>
      <c r="K21" s="61"/>
      <c r="L21" s="61"/>
      <c r="M21" s="61"/>
      <c r="N21" s="61"/>
      <c r="O21" s="61"/>
      <c r="P21" s="61"/>
      <c r="Q21" s="61"/>
      <c r="R21" s="61"/>
      <c r="S21" s="61"/>
      <c r="T21" s="61"/>
      <c r="U21" s="61"/>
      <c r="V21" s="61"/>
      <c r="W21" s="61"/>
      <c r="X21" s="57"/>
    </row>
    <row r="22" spans="1:24" s="18" customFormat="1" ht="15.75" x14ac:dyDescent="0.25">
      <c r="A22" s="356" t="s">
        <v>234</v>
      </c>
      <c r="B22" s="356"/>
      <c r="C22" s="356"/>
      <c r="D22" s="356"/>
      <c r="E22" s="61"/>
      <c r="F22" s="61"/>
      <c r="G22" s="61"/>
      <c r="H22" s="61"/>
      <c r="I22" s="61"/>
      <c r="J22" s="61"/>
      <c r="K22" s="61"/>
      <c r="L22" s="61"/>
      <c r="M22" s="61"/>
      <c r="N22" s="61"/>
      <c r="O22" s="61"/>
      <c r="P22" s="61"/>
      <c r="Q22" s="61"/>
      <c r="R22" s="61"/>
      <c r="S22" s="61"/>
      <c r="T22" s="61"/>
      <c r="U22" s="61"/>
      <c r="V22" s="61"/>
      <c r="W22" s="61"/>
      <c r="X22" s="57"/>
    </row>
    <row r="23" spans="1:24" s="18" customFormat="1" ht="19.5" x14ac:dyDescent="0.35">
      <c r="A23" s="355" t="s">
        <v>235</v>
      </c>
      <c r="B23" s="355"/>
      <c r="C23" s="355"/>
      <c r="D23" s="355"/>
      <c r="E23" s="61"/>
      <c r="F23" s="205"/>
      <c r="G23" s="205"/>
      <c r="H23" s="61"/>
      <c r="I23" s="61"/>
      <c r="J23" s="61"/>
      <c r="K23" s="61"/>
      <c r="L23" s="61"/>
      <c r="M23" s="61"/>
      <c r="N23" s="61"/>
      <c r="O23" s="61"/>
      <c r="P23" s="61"/>
      <c r="Q23" s="61"/>
      <c r="R23" s="61"/>
      <c r="S23" s="61"/>
      <c r="T23" s="61"/>
      <c r="U23" s="61"/>
      <c r="V23" s="61"/>
      <c r="W23" s="61"/>
      <c r="X23" s="57"/>
    </row>
    <row r="24" spans="1:24" s="18" customFormat="1" ht="15.75" x14ac:dyDescent="0.25">
      <c r="A24" s="356" t="s">
        <v>236</v>
      </c>
      <c r="B24" s="356"/>
      <c r="C24" s="356"/>
      <c r="D24" s="356"/>
      <c r="E24" s="61"/>
      <c r="F24" s="61"/>
      <c r="G24" s="61"/>
      <c r="H24" s="61"/>
      <c r="I24" s="61"/>
      <c r="J24" s="61"/>
      <c r="K24" s="61"/>
      <c r="L24" s="61"/>
      <c r="M24" s="61"/>
      <c r="N24" s="61"/>
      <c r="O24" s="61"/>
      <c r="P24" s="61"/>
      <c r="Q24" s="61"/>
      <c r="R24" s="61"/>
      <c r="S24" s="61"/>
      <c r="T24" s="61"/>
      <c r="U24" s="61"/>
      <c r="V24" s="61"/>
      <c r="W24" s="61"/>
      <c r="X24" s="57"/>
    </row>
    <row r="25" spans="1:24" s="18" customFormat="1" ht="19.5" x14ac:dyDescent="0.35">
      <c r="A25" s="355" t="s">
        <v>237</v>
      </c>
      <c r="B25" s="355"/>
      <c r="C25" s="355"/>
      <c r="D25" s="355"/>
      <c r="E25" s="61"/>
      <c r="F25" s="205"/>
      <c r="G25" s="61"/>
      <c r="H25" s="61"/>
      <c r="I25" s="61"/>
      <c r="J25" s="61"/>
      <c r="K25" s="61"/>
      <c r="L25" s="61"/>
      <c r="M25" s="61"/>
      <c r="N25" s="61"/>
      <c r="O25" s="61"/>
      <c r="P25" s="61"/>
      <c r="Q25" s="61"/>
      <c r="R25" s="61"/>
      <c r="S25" s="61"/>
      <c r="T25" s="61"/>
      <c r="U25" s="61"/>
      <c r="V25" s="61"/>
      <c r="W25" s="61"/>
      <c r="X25" s="57"/>
    </row>
    <row r="26" spans="1:24" s="18" customFormat="1" ht="15.75" x14ac:dyDescent="0.25">
      <c r="C26" s="25"/>
      <c r="E26" s="61"/>
      <c r="F26" s="61"/>
      <c r="G26" s="61"/>
      <c r="H26" s="61"/>
      <c r="I26" s="61"/>
      <c r="J26" s="61"/>
      <c r="K26" s="61"/>
      <c r="L26" s="61"/>
      <c r="M26" s="61"/>
      <c r="N26" s="61"/>
      <c r="O26" s="61"/>
      <c r="P26" s="61"/>
      <c r="Q26" s="61"/>
      <c r="R26" s="61"/>
      <c r="S26" s="61"/>
      <c r="T26" s="61"/>
      <c r="U26" s="61"/>
      <c r="V26" s="61"/>
      <c r="W26" s="61"/>
      <c r="X26" s="57"/>
    </row>
    <row r="27" spans="1:24" s="18" customFormat="1" ht="18.75" x14ac:dyDescent="0.35">
      <c r="A27" s="21" t="s">
        <v>238</v>
      </c>
      <c r="B27" s="146">
        <f>(IF('Data Inputs'!P17=2,(220000*(((IF('Data Inputs'!P8=2,'Data Inputs'!C10,(0.1*'SNCR Design Parameters'!C6)))*'SNCR Design Parameters'!C9)^0.42)*'SNCR Design Parameters'!C15*F49),(147000*(((IF('Data Inputs'!P8=2,('Data Inputs'!C10),('SNCR Design Parameters'!C6/'Data Inputs'!C18))*'SNCR Design Parameters'!C9)^0.42)))))*(('Data Inputs'!C49/'Data Inputs'!F49)*(F27)*'SNCR Design Parameters'!C19)</f>
        <v>3689655.2602837631</v>
      </c>
      <c r="C27" s="22" t="str">
        <f>"in "&amp;'Data Inputs'!$C$48 &amp; " dollars"</f>
        <v>in 2019 dollars</v>
      </c>
      <c r="E27" s="206" t="s">
        <v>239</v>
      </c>
      <c r="F27" s="61">
        <f>IF('Data Inputs'!I31&lt;500, 1,'SNCR Design Parameters'!C17)</f>
        <v>1</v>
      </c>
      <c r="G27" s="61"/>
      <c r="H27" s="61"/>
      <c r="I27" s="61"/>
      <c r="J27" s="61"/>
      <c r="K27" s="61"/>
      <c r="L27" s="61"/>
      <c r="M27" s="61"/>
      <c r="N27" s="61"/>
      <c r="O27" s="61"/>
      <c r="P27" s="61"/>
      <c r="Q27" s="61"/>
      <c r="R27" s="61"/>
      <c r="S27" s="61"/>
      <c r="T27" s="61"/>
      <c r="U27" s="61"/>
      <c r="V27" s="61"/>
      <c r="W27" s="61"/>
      <c r="X27" s="57"/>
    </row>
    <row r="28" spans="1:24" s="18" customFormat="1" ht="15.75" x14ac:dyDescent="0.25">
      <c r="B28" s="26"/>
      <c r="C28" s="25"/>
      <c r="E28" s="61"/>
      <c r="F28" s="61"/>
      <c r="G28" s="61"/>
      <c r="H28" s="61"/>
      <c r="I28" s="61"/>
      <c r="J28" s="61"/>
      <c r="K28" s="61"/>
      <c r="L28" s="61"/>
      <c r="M28" s="61"/>
      <c r="N28" s="61"/>
      <c r="O28" s="61"/>
      <c r="P28" s="61"/>
      <c r="Q28" s="61"/>
      <c r="R28" s="61"/>
      <c r="S28" s="61"/>
      <c r="T28" s="61"/>
      <c r="U28" s="61"/>
      <c r="V28" s="61"/>
      <c r="W28" s="61"/>
      <c r="X28" s="57"/>
    </row>
    <row r="29" spans="1:24" s="18" customFormat="1" ht="15.75" x14ac:dyDescent="0.25">
      <c r="C29" s="25"/>
      <c r="E29" s="61"/>
      <c r="F29" s="61"/>
      <c r="G29" s="61"/>
      <c r="H29" s="61"/>
      <c r="I29" s="61"/>
      <c r="J29" s="61"/>
      <c r="K29" s="61"/>
      <c r="L29" s="61"/>
      <c r="M29" s="61"/>
      <c r="N29" s="61"/>
      <c r="O29" s="61"/>
      <c r="P29" s="61"/>
      <c r="Q29" s="61"/>
      <c r="R29" s="61"/>
      <c r="S29" s="61"/>
      <c r="T29" s="61"/>
      <c r="U29" s="61"/>
      <c r="V29" s="61"/>
      <c r="W29" s="61"/>
      <c r="X29" s="57"/>
    </row>
    <row r="30" spans="1:24" s="18" customFormat="1" ht="18" x14ac:dyDescent="0.65">
      <c r="A30" s="360" t="s">
        <v>240</v>
      </c>
      <c r="B30" s="361"/>
      <c r="C30" s="361"/>
      <c r="D30" s="362"/>
      <c r="E30" s="61"/>
      <c r="F30" s="61"/>
      <c r="G30" s="61"/>
      <c r="H30" s="61"/>
      <c r="I30" s="61"/>
      <c r="J30" s="61"/>
      <c r="K30" s="61"/>
      <c r="L30" s="61"/>
      <c r="M30" s="61"/>
      <c r="N30" s="61"/>
      <c r="O30" s="61"/>
      <c r="P30" s="61"/>
      <c r="Q30" s="61"/>
      <c r="R30" s="61"/>
      <c r="S30" s="61"/>
      <c r="T30" s="61"/>
      <c r="U30" s="61"/>
      <c r="V30" s="61"/>
      <c r="W30" s="61"/>
      <c r="X30" s="57"/>
    </row>
    <row r="31" spans="1:24" s="18" customFormat="1" ht="15.75" x14ac:dyDescent="0.5">
      <c r="A31" s="363" t="s">
        <v>230</v>
      </c>
      <c r="B31" s="363"/>
      <c r="C31" s="363"/>
      <c r="D31" s="363"/>
      <c r="E31" s="61"/>
      <c r="F31" s="61"/>
      <c r="G31" s="61"/>
      <c r="H31" s="61"/>
      <c r="I31" s="61"/>
      <c r="J31" s="61"/>
      <c r="K31" s="61"/>
      <c r="L31" s="61"/>
      <c r="M31" s="61"/>
      <c r="N31" s="61"/>
      <c r="O31" s="61"/>
      <c r="P31" s="61"/>
      <c r="Q31" s="61"/>
      <c r="R31" s="61"/>
      <c r="S31" s="61"/>
      <c r="T31" s="61"/>
      <c r="U31" s="61"/>
      <c r="V31" s="61"/>
      <c r="W31" s="61"/>
      <c r="X31" s="57"/>
    </row>
    <row r="32" spans="1:24" s="18" customFormat="1" ht="19.149999999999999" x14ac:dyDescent="0.65">
      <c r="A32" s="355" t="s">
        <v>241</v>
      </c>
      <c r="B32" s="355"/>
      <c r="C32" s="355"/>
      <c r="D32" s="355"/>
      <c r="E32" s="61"/>
      <c r="F32" s="61"/>
      <c r="G32" s="61"/>
      <c r="H32" s="61"/>
      <c r="I32" s="61"/>
      <c r="J32" s="61"/>
      <c r="K32" s="61"/>
      <c r="L32" s="61"/>
      <c r="M32" s="61"/>
      <c r="N32" s="61"/>
      <c r="O32" s="61"/>
      <c r="P32" s="61"/>
      <c r="Q32" s="61"/>
      <c r="R32" s="61"/>
      <c r="S32" s="61"/>
      <c r="T32" s="61"/>
      <c r="U32" s="61"/>
      <c r="V32" s="61"/>
      <c r="W32" s="61"/>
      <c r="X32" s="57"/>
    </row>
    <row r="33" spans="1:24" s="18" customFormat="1" ht="15.75" x14ac:dyDescent="0.5">
      <c r="A33" s="356" t="s">
        <v>234</v>
      </c>
      <c r="B33" s="356"/>
      <c r="C33" s="356"/>
      <c r="D33" s="356"/>
      <c r="E33" s="61"/>
      <c r="F33" s="61"/>
      <c r="G33" s="61"/>
      <c r="H33" s="61"/>
      <c r="I33" s="61"/>
      <c r="J33" s="61"/>
      <c r="K33" s="61"/>
      <c r="L33" s="61"/>
      <c r="M33" s="61"/>
      <c r="N33" s="61"/>
      <c r="O33" s="61"/>
      <c r="P33" s="61"/>
      <c r="Q33" s="61"/>
      <c r="R33" s="61"/>
      <c r="S33" s="61"/>
      <c r="T33" s="61"/>
      <c r="U33" s="61"/>
      <c r="V33" s="61"/>
      <c r="W33" s="61"/>
      <c r="X33" s="57"/>
    </row>
    <row r="34" spans="1:24" s="18" customFormat="1" ht="19.149999999999999" x14ac:dyDescent="0.65">
      <c r="A34" s="355" t="s">
        <v>242</v>
      </c>
      <c r="B34" s="355"/>
      <c r="C34" s="355"/>
      <c r="D34" s="355"/>
      <c r="E34" s="61"/>
      <c r="F34" s="61"/>
      <c r="G34" s="61"/>
      <c r="H34" s="61"/>
      <c r="I34" s="61"/>
      <c r="J34" s="61"/>
      <c r="K34" s="61"/>
      <c r="L34" s="61"/>
      <c r="M34" s="61"/>
      <c r="N34" s="61"/>
      <c r="O34" s="61"/>
      <c r="P34" s="61"/>
      <c r="Q34" s="61"/>
      <c r="R34" s="61"/>
      <c r="S34" s="61"/>
      <c r="T34" s="61"/>
      <c r="U34" s="61"/>
      <c r="V34" s="61"/>
      <c r="W34" s="61"/>
      <c r="X34" s="57"/>
    </row>
    <row r="35" spans="1:24" s="18" customFormat="1" ht="15.75" x14ac:dyDescent="0.5">
      <c r="C35" s="25"/>
      <c r="E35" s="61"/>
      <c r="F35" s="61"/>
      <c r="G35" s="61"/>
      <c r="H35" s="61"/>
      <c r="I35" s="61"/>
      <c r="J35" s="61"/>
      <c r="K35" s="61"/>
      <c r="L35" s="61"/>
      <c r="M35" s="61"/>
      <c r="N35" s="61"/>
      <c r="O35" s="61"/>
      <c r="P35" s="61"/>
      <c r="Q35" s="61"/>
      <c r="R35" s="61"/>
      <c r="S35" s="61"/>
      <c r="T35" s="61"/>
      <c r="U35" s="61"/>
      <c r="V35" s="61"/>
      <c r="W35" s="61"/>
      <c r="X35" s="57"/>
    </row>
    <row r="36" spans="1:24" s="18" customFormat="1" ht="18" x14ac:dyDescent="0.65">
      <c r="A36" s="21" t="s">
        <v>243</v>
      </c>
      <c r="B36" s="146">
        <f>IF('Data Inputs'!P17=2,(69000*(((IF('Data Inputs'!P8=2,'Data Inputs'!C10,(0.1*'SNCR Design Parameters'!C6)))*'SNCR Design Parameters'!C9*'SNCR Design Parameters'!C15)^0.78)*(IF('Data Inputs'!V11=3,1,0))*('Data Inputs'!C49/'Data Inputs'!F49)*('SNCR Design Parameters'!C19)), 0)</f>
        <v>0</v>
      </c>
      <c r="C36" s="22" t="str">
        <f>"in "&amp;'Data Inputs'!$C$48 &amp; " dollars"</f>
        <v>in 2019 dollars</v>
      </c>
      <c r="E36" s="61"/>
      <c r="F36" s="61"/>
      <c r="G36" s="61"/>
      <c r="H36" s="61"/>
      <c r="I36" s="61"/>
      <c r="J36" s="61"/>
      <c r="K36" s="61"/>
      <c r="L36" s="61"/>
      <c r="M36" s="61"/>
      <c r="N36" s="61"/>
      <c r="O36" s="61"/>
      <c r="P36" s="61"/>
      <c r="Q36" s="61"/>
      <c r="R36" s="61"/>
      <c r="S36" s="61"/>
      <c r="T36" s="61"/>
      <c r="U36" s="61"/>
      <c r="V36" s="61"/>
      <c r="W36" s="61"/>
      <c r="X36" s="57"/>
    </row>
    <row r="37" spans="1:24" s="23" customFormat="1" ht="26.25" customHeight="1" x14ac:dyDescent="0.4">
      <c r="A37" s="367" t="str">
        <f>IF(AND('Data Inputs'!P17=2,'Data Inputs'!V11=3),"* This factor applies because the boiler burns bituminous coal and emits equal to or greater than 3lb/MMBtu of sulfur dioxide. ", "* Not applicable - This factor applies only to coal-fired boilers that burn bituminous coal and emit equal to or greater than 3lb/MMBtu of sulfur dioxide.")</f>
        <v>* Not applicable - This factor applies only to coal-fired boilers that burn bituminous coal and emit equal to or greater than 3lb/MMBtu of sulfur dioxide.</v>
      </c>
      <c r="B37" s="367"/>
      <c r="C37" s="367"/>
      <c r="E37" s="63"/>
      <c r="F37" s="63"/>
      <c r="G37" s="63"/>
      <c r="H37" s="63"/>
      <c r="I37" s="63"/>
      <c r="J37" s="63"/>
      <c r="K37" s="63"/>
      <c r="L37" s="63"/>
      <c r="M37" s="63"/>
      <c r="N37" s="63"/>
      <c r="O37" s="63"/>
      <c r="P37" s="63"/>
      <c r="Q37" s="63"/>
      <c r="R37" s="63"/>
      <c r="S37" s="63"/>
      <c r="T37" s="63"/>
      <c r="U37" s="63"/>
      <c r="V37" s="63"/>
      <c r="W37" s="63"/>
      <c r="X37" s="59"/>
    </row>
    <row r="38" spans="1:24" x14ac:dyDescent="0.45">
      <c r="C38" s="11"/>
    </row>
    <row r="39" spans="1:24" s="18" customFormat="1" ht="18" x14ac:dyDescent="0.65">
      <c r="A39" s="360" t="s">
        <v>244</v>
      </c>
      <c r="B39" s="361"/>
      <c r="C39" s="361"/>
      <c r="D39" s="362"/>
      <c r="E39" s="61"/>
      <c r="F39" s="61"/>
      <c r="G39" s="61"/>
      <c r="H39" s="61"/>
      <c r="I39" s="61"/>
      <c r="J39" s="61"/>
      <c r="K39" s="61"/>
      <c r="L39" s="61"/>
      <c r="M39" s="61"/>
      <c r="N39" s="61"/>
      <c r="O39" s="61"/>
      <c r="P39" s="61"/>
      <c r="Q39" s="61"/>
      <c r="R39" s="61"/>
      <c r="S39" s="61"/>
      <c r="T39" s="61"/>
      <c r="U39" s="61"/>
      <c r="V39" s="61"/>
      <c r="W39" s="61"/>
      <c r="X39" s="57"/>
    </row>
    <row r="40" spans="1:24" s="18" customFormat="1" ht="15.75" x14ac:dyDescent="0.5">
      <c r="A40" s="356" t="s">
        <v>230</v>
      </c>
      <c r="B40" s="356"/>
      <c r="C40" s="356"/>
      <c r="D40" s="356"/>
      <c r="E40" s="61"/>
      <c r="F40" s="61"/>
      <c r="G40" s="61"/>
      <c r="H40" s="61"/>
      <c r="I40" s="61"/>
      <c r="J40" s="61"/>
      <c r="K40" s="61"/>
      <c r="L40" s="61"/>
      <c r="M40" s="61"/>
      <c r="N40" s="61"/>
      <c r="O40" s="61"/>
      <c r="P40" s="61"/>
      <c r="Q40" s="61"/>
      <c r="R40" s="61"/>
      <c r="S40" s="61"/>
      <c r="T40" s="61"/>
      <c r="U40" s="61"/>
      <c r="V40" s="61"/>
      <c r="W40" s="61"/>
      <c r="X40" s="57"/>
    </row>
    <row r="41" spans="1:24" s="18" customFormat="1" ht="19.149999999999999" x14ac:dyDescent="0.65">
      <c r="A41" s="355" t="s">
        <v>245</v>
      </c>
      <c r="B41" s="355"/>
      <c r="C41" s="355"/>
      <c r="D41" s="355"/>
      <c r="E41" s="61"/>
      <c r="F41" s="61"/>
      <c r="G41" s="61"/>
      <c r="H41" s="61"/>
      <c r="I41" s="61"/>
      <c r="J41" s="61"/>
      <c r="K41" s="61"/>
      <c r="L41" s="61"/>
      <c r="M41" s="61"/>
      <c r="N41" s="61"/>
      <c r="O41" s="61"/>
      <c r="P41" s="61"/>
      <c r="Q41" s="61"/>
      <c r="R41" s="61"/>
      <c r="S41" s="61"/>
      <c r="T41" s="61"/>
      <c r="U41" s="61"/>
      <c r="V41" s="61"/>
      <c r="W41" s="61"/>
      <c r="X41" s="57"/>
    </row>
    <row r="42" spans="1:24" s="18" customFormat="1" ht="15.75" x14ac:dyDescent="0.5">
      <c r="A42" s="356" t="s">
        <v>232</v>
      </c>
      <c r="B42" s="356"/>
      <c r="C42" s="356"/>
      <c r="D42" s="356"/>
      <c r="E42" s="61"/>
      <c r="F42" s="61"/>
      <c r="G42" s="61"/>
      <c r="H42" s="61"/>
      <c r="I42" s="61"/>
      <c r="J42" s="61"/>
      <c r="K42" s="61"/>
      <c r="L42" s="61"/>
      <c r="M42" s="61"/>
      <c r="N42" s="61"/>
      <c r="O42" s="61"/>
      <c r="P42" s="61"/>
      <c r="Q42" s="61"/>
      <c r="R42" s="61"/>
      <c r="S42" s="61"/>
      <c r="T42" s="61"/>
      <c r="U42" s="61"/>
      <c r="V42" s="61"/>
      <c r="W42" s="61"/>
      <c r="X42" s="57"/>
    </row>
    <row r="43" spans="1:24" s="18" customFormat="1" ht="19.149999999999999" x14ac:dyDescent="0.65">
      <c r="A43" s="355" t="s">
        <v>246</v>
      </c>
      <c r="B43" s="355"/>
      <c r="C43" s="355"/>
      <c r="D43" s="355"/>
      <c r="E43" s="61"/>
      <c r="F43" s="61"/>
      <c r="G43" s="61"/>
      <c r="H43" s="61"/>
      <c r="I43" s="61"/>
      <c r="J43" s="61"/>
      <c r="K43" s="61"/>
      <c r="L43" s="61"/>
      <c r="M43" s="61"/>
      <c r="N43" s="61"/>
      <c r="O43" s="61"/>
      <c r="P43" s="61"/>
      <c r="Q43" s="61"/>
      <c r="R43" s="61"/>
      <c r="S43" s="61"/>
      <c r="T43" s="61"/>
      <c r="U43" s="61"/>
      <c r="V43" s="61"/>
      <c r="W43" s="61"/>
      <c r="X43" s="57"/>
    </row>
    <row r="44" spans="1:24" s="18" customFormat="1" ht="15.75" x14ac:dyDescent="0.5">
      <c r="A44" s="44" t="s">
        <v>234</v>
      </c>
      <c r="B44" s="44"/>
      <c r="C44" s="44"/>
      <c r="D44" s="44"/>
      <c r="E44" s="61"/>
      <c r="F44" s="61"/>
      <c r="G44" s="61"/>
      <c r="H44" s="61"/>
      <c r="I44" s="61"/>
      <c r="J44" s="61"/>
      <c r="K44" s="61"/>
      <c r="L44" s="61"/>
      <c r="M44" s="61"/>
      <c r="N44" s="61"/>
      <c r="O44" s="61"/>
      <c r="P44" s="61"/>
      <c r="Q44" s="61"/>
      <c r="R44" s="61"/>
      <c r="S44" s="61"/>
      <c r="T44" s="61"/>
      <c r="U44" s="61"/>
      <c r="V44" s="61"/>
      <c r="W44" s="61"/>
      <c r="X44" s="57"/>
    </row>
    <row r="45" spans="1:24" s="18" customFormat="1" ht="19.149999999999999" x14ac:dyDescent="0.65">
      <c r="A45" s="355" t="s">
        <v>247</v>
      </c>
      <c r="B45" s="355"/>
      <c r="C45" s="355"/>
      <c r="D45" s="355"/>
      <c r="E45" s="61"/>
      <c r="F45" s="61"/>
      <c r="G45" s="61"/>
      <c r="H45" s="61"/>
      <c r="I45" s="61"/>
      <c r="J45" s="61"/>
      <c r="K45" s="61"/>
      <c r="L45" s="61"/>
      <c r="M45" s="61"/>
      <c r="N45" s="61"/>
      <c r="O45" s="61"/>
      <c r="P45" s="61"/>
      <c r="Q45" s="61"/>
      <c r="R45" s="61"/>
      <c r="S45" s="61"/>
      <c r="T45" s="61"/>
      <c r="U45" s="61"/>
      <c r="V45" s="61"/>
      <c r="W45" s="61"/>
      <c r="X45" s="57"/>
    </row>
    <row r="46" spans="1:24" s="18" customFormat="1" ht="15.75" x14ac:dyDescent="0.5">
      <c r="A46" s="356" t="s">
        <v>236</v>
      </c>
      <c r="B46" s="356"/>
      <c r="C46" s="356"/>
      <c r="D46" s="356"/>
      <c r="E46" s="61"/>
      <c r="F46" s="61"/>
      <c r="G46" s="61"/>
      <c r="H46" s="61"/>
      <c r="I46" s="61"/>
      <c r="J46" s="61"/>
      <c r="K46" s="61"/>
      <c r="L46" s="61"/>
      <c r="M46" s="61"/>
      <c r="N46" s="61"/>
      <c r="O46" s="61"/>
      <c r="P46" s="61"/>
      <c r="Q46" s="61"/>
      <c r="R46" s="61"/>
      <c r="S46" s="61"/>
      <c r="T46" s="61"/>
      <c r="U46" s="61"/>
      <c r="V46" s="61"/>
      <c r="W46" s="61"/>
      <c r="X46" s="57"/>
    </row>
    <row r="47" spans="1:24" s="18" customFormat="1" ht="19.149999999999999" x14ac:dyDescent="0.65">
      <c r="A47" s="355" t="s">
        <v>248</v>
      </c>
      <c r="B47" s="355"/>
      <c r="C47" s="355"/>
      <c r="D47" s="355"/>
      <c r="E47" s="61"/>
      <c r="F47" s="61"/>
      <c r="G47" s="61"/>
      <c r="H47" s="61"/>
      <c r="I47" s="61"/>
      <c r="J47" s="61"/>
      <c r="K47" s="61"/>
      <c r="L47" s="61"/>
      <c r="M47" s="61"/>
      <c r="N47" s="61"/>
      <c r="O47" s="61"/>
      <c r="P47" s="61"/>
      <c r="Q47" s="61"/>
      <c r="R47" s="61"/>
      <c r="S47" s="61"/>
      <c r="T47" s="61"/>
      <c r="U47" s="61"/>
      <c r="V47" s="61"/>
      <c r="W47" s="61"/>
      <c r="X47" s="57"/>
    </row>
    <row r="48" spans="1:24" s="18" customFormat="1" ht="15.75" x14ac:dyDescent="0.5">
      <c r="C48" s="25"/>
      <c r="E48" s="61"/>
      <c r="F48" s="61"/>
      <c r="G48" s="61"/>
      <c r="H48" s="61"/>
      <c r="I48" s="61"/>
      <c r="J48" s="61"/>
      <c r="K48" s="61"/>
      <c r="L48" s="61"/>
      <c r="M48" s="61"/>
      <c r="N48" s="61"/>
      <c r="O48" s="61"/>
      <c r="P48" s="61"/>
      <c r="Q48" s="61"/>
      <c r="R48" s="61"/>
      <c r="S48" s="61"/>
      <c r="T48" s="61"/>
      <c r="U48" s="61"/>
      <c r="V48" s="61"/>
      <c r="W48" s="61"/>
      <c r="X48" s="57"/>
    </row>
    <row r="49" spans="1:24" s="18" customFormat="1" ht="18" x14ac:dyDescent="0.65">
      <c r="A49" s="21" t="s">
        <v>227</v>
      </c>
      <c r="B49" s="146">
        <f>(IF('Data Inputs'!P8=2,(F50*(('Data Inputs'!C10)^0.33)*(('SNCR Design Parameters'!C13)^0.12)*'Cost Estimate'!F49),(F50*(F51^0.33)*(('SNCR Design Parameters'!C13)^0.12)*'Cost Estimate'!F49)))*('Data Inputs'!C49/'Data Inputs'!F49)*('SNCR Design Parameters'!C19)</f>
        <v>4408602.7231171029</v>
      </c>
      <c r="C49" s="22" t="str">
        <f>"in "&amp;'Data Inputs'!$C$48 &amp; " dollars"</f>
        <v>in 2019 dollars</v>
      </c>
      <c r="E49" s="61"/>
      <c r="F49" s="61">
        <f>IF('Data Inputs'!P25=2,0.75,1)</f>
        <v>1</v>
      </c>
      <c r="G49" s="61" t="s">
        <v>249</v>
      </c>
      <c r="H49" s="61"/>
      <c r="I49" s="61"/>
      <c r="J49" s="61"/>
      <c r="K49" s="61"/>
      <c r="L49" s="61"/>
      <c r="M49" s="61"/>
      <c r="N49" s="61"/>
      <c r="O49" s="61"/>
      <c r="P49" s="61"/>
      <c r="Q49" s="61"/>
      <c r="R49" s="61"/>
      <c r="S49" s="61"/>
      <c r="T49" s="61"/>
      <c r="U49" s="61"/>
      <c r="V49" s="61"/>
      <c r="W49" s="61"/>
      <c r="X49" s="57"/>
    </row>
    <row r="50" spans="1:24" s="18" customFormat="1" ht="15.75" x14ac:dyDescent="0.5">
      <c r="B50" s="27"/>
      <c r="E50" s="61"/>
      <c r="F50" s="61">
        <f>IF('Data Inputs'!P17=2,320000,213000)</f>
        <v>320000</v>
      </c>
      <c r="G50" s="61"/>
      <c r="H50" s="61"/>
      <c r="I50" s="61"/>
      <c r="J50" s="61"/>
      <c r="K50" s="61"/>
      <c r="L50" s="61"/>
      <c r="M50" s="61"/>
      <c r="N50" s="61"/>
      <c r="O50" s="61"/>
      <c r="P50" s="61"/>
      <c r="Q50" s="61"/>
      <c r="R50" s="61"/>
      <c r="S50" s="61"/>
      <c r="T50" s="61"/>
      <c r="U50" s="61"/>
      <c r="V50" s="61"/>
      <c r="W50" s="61"/>
      <c r="X50" s="57"/>
    </row>
    <row r="51" spans="1:24" x14ac:dyDescent="0.45">
      <c r="B51" s="5"/>
      <c r="F51" s="49">
        <f>IF('Data Inputs'!P17=2,(0.1*'SNCR Design Parameters'!C6),('SNCR Design Parameters'!C6/'Data Inputs'!C18))</f>
        <v>558</v>
      </c>
    </row>
    <row r="52" spans="1:24" s="14" customFormat="1" ht="18" x14ac:dyDescent="0.55000000000000004">
      <c r="A52" s="368" t="s">
        <v>250</v>
      </c>
      <c r="B52" s="368"/>
      <c r="C52" s="368"/>
      <c r="D52" s="368"/>
      <c r="E52" s="51"/>
      <c r="F52" s="51"/>
      <c r="G52" s="51"/>
      <c r="H52" s="51"/>
      <c r="I52" s="51"/>
      <c r="J52" s="51"/>
      <c r="K52" s="51"/>
      <c r="L52" s="51"/>
      <c r="M52" s="51"/>
      <c r="N52" s="51"/>
      <c r="O52" s="51"/>
      <c r="P52" s="51"/>
      <c r="Q52" s="51"/>
      <c r="R52" s="51"/>
      <c r="S52" s="51"/>
      <c r="T52" s="51"/>
      <c r="U52" s="51"/>
      <c r="V52" s="51"/>
      <c r="W52" s="51"/>
      <c r="X52" s="43"/>
    </row>
    <row r="54" spans="1:24" s="18" customFormat="1" ht="15.75" x14ac:dyDescent="0.5">
      <c r="A54" s="357" t="s">
        <v>251</v>
      </c>
      <c r="B54" s="357"/>
      <c r="C54" s="357"/>
      <c r="D54" s="357"/>
      <c r="E54" s="61"/>
      <c r="F54" s="61"/>
      <c r="G54" s="61"/>
      <c r="H54" s="61"/>
      <c r="I54" s="61"/>
      <c r="J54" s="61"/>
      <c r="K54" s="61"/>
      <c r="L54" s="61"/>
      <c r="M54" s="61"/>
      <c r="N54" s="61"/>
      <c r="O54" s="61"/>
      <c r="P54" s="61"/>
      <c r="Q54" s="61"/>
      <c r="R54" s="61"/>
      <c r="S54" s="61"/>
      <c r="T54" s="61"/>
      <c r="U54" s="61"/>
      <c r="V54" s="61"/>
      <c r="W54" s="61"/>
      <c r="X54" s="57"/>
    </row>
    <row r="55" spans="1:24" s="24" customFormat="1" ht="15.75" x14ac:dyDescent="0.5">
      <c r="A55" s="358" t="s">
        <v>252</v>
      </c>
      <c r="B55" s="358"/>
      <c r="C55" s="358"/>
      <c r="D55" s="358"/>
      <c r="E55" s="62"/>
      <c r="F55" s="62"/>
      <c r="G55" s="62"/>
      <c r="H55" s="62"/>
      <c r="I55" s="62"/>
      <c r="J55" s="62"/>
      <c r="K55" s="62"/>
      <c r="L55" s="62"/>
      <c r="M55" s="62"/>
      <c r="N55" s="62"/>
      <c r="O55" s="62"/>
      <c r="P55" s="62"/>
      <c r="Q55" s="62"/>
      <c r="R55" s="62"/>
      <c r="S55" s="62"/>
      <c r="T55" s="62"/>
      <c r="U55" s="62"/>
      <c r="V55" s="62"/>
      <c r="W55" s="62"/>
      <c r="X55" s="58"/>
    </row>
    <row r="56" spans="1:24" s="18" customFormat="1" ht="15.75" x14ac:dyDescent="0.5">
      <c r="E56" s="61"/>
      <c r="F56" s="61"/>
      <c r="G56" s="61"/>
      <c r="H56" s="61"/>
      <c r="I56" s="61"/>
      <c r="J56" s="61"/>
      <c r="K56" s="61"/>
      <c r="L56" s="61"/>
      <c r="M56" s="61"/>
      <c r="N56" s="61"/>
      <c r="O56" s="61"/>
      <c r="P56" s="61"/>
      <c r="Q56" s="61"/>
      <c r="R56" s="61"/>
      <c r="S56" s="61"/>
      <c r="T56" s="61"/>
      <c r="U56" s="61"/>
      <c r="V56" s="61"/>
      <c r="W56" s="61"/>
      <c r="X56" s="57"/>
    </row>
    <row r="57" spans="1:24" s="18" customFormat="1" ht="15.75" x14ac:dyDescent="0.5">
      <c r="A57" s="19" t="s">
        <v>253</v>
      </c>
      <c r="B57" s="143">
        <f>C70</f>
        <v>480382.30070525926</v>
      </c>
      <c r="C57" s="46" t="str">
        <f>"in "&amp;'Data Inputs'!$C$48 &amp; " dollars"</f>
        <v>in 2019 dollars</v>
      </c>
      <c r="E57" s="61"/>
      <c r="F57" s="61"/>
      <c r="G57" s="61"/>
      <c r="H57" s="61"/>
      <c r="I57" s="61"/>
      <c r="J57" s="61"/>
      <c r="K57" s="61"/>
      <c r="L57" s="61"/>
      <c r="M57" s="61"/>
      <c r="N57" s="61"/>
      <c r="O57" s="61"/>
      <c r="P57" s="61"/>
      <c r="Q57" s="61"/>
      <c r="R57" s="61"/>
      <c r="S57" s="61"/>
      <c r="T57" s="61"/>
      <c r="U57" s="61"/>
      <c r="V57" s="61"/>
      <c r="W57" s="61"/>
      <c r="X57" s="57"/>
    </row>
    <row r="58" spans="1:24" s="18" customFormat="1" ht="15.75" x14ac:dyDescent="0.5">
      <c r="A58" s="45" t="s">
        <v>254</v>
      </c>
      <c r="B58" s="145">
        <f>C77</f>
        <v>998555.70064324373</v>
      </c>
      <c r="C58" s="47" t="str">
        <f>"in "&amp;'Data Inputs'!$C$48 &amp; " dollars"</f>
        <v>in 2019 dollars</v>
      </c>
      <c r="E58" s="61"/>
      <c r="F58" s="61"/>
      <c r="G58" s="61"/>
      <c r="H58" s="61"/>
      <c r="I58" s="61"/>
      <c r="J58" s="61"/>
      <c r="K58" s="61"/>
      <c r="L58" s="61"/>
      <c r="M58" s="61"/>
      <c r="N58" s="61"/>
      <c r="O58" s="61"/>
      <c r="P58" s="61"/>
      <c r="Q58" s="61"/>
      <c r="R58" s="61"/>
      <c r="S58" s="61"/>
      <c r="T58" s="61"/>
      <c r="U58" s="61"/>
      <c r="V58" s="61"/>
      <c r="W58" s="61"/>
      <c r="X58" s="57"/>
    </row>
    <row r="59" spans="1:24" s="18" customFormat="1" ht="15.75" x14ac:dyDescent="0.5">
      <c r="A59" s="21" t="s">
        <v>255</v>
      </c>
      <c r="B59" s="146">
        <f>B57+B58</f>
        <v>1478938.0013485029</v>
      </c>
      <c r="C59" s="22" t="str">
        <f>"in "&amp;'Data Inputs'!$C$48 &amp; " dollars"</f>
        <v>in 2019 dollars</v>
      </c>
      <c r="E59" s="61"/>
      <c r="F59" s="61"/>
      <c r="G59" s="61"/>
      <c r="H59" s="61"/>
      <c r="I59" s="61"/>
      <c r="J59" s="61"/>
      <c r="K59" s="61"/>
      <c r="L59" s="61"/>
      <c r="M59" s="61"/>
      <c r="N59" s="61"/>
      <c r="O59" s="61"/>
      <c r="P59" s="61"/>
      <c r="Q59" s="61"/>
      <c r="R59" s="61"/>
      <c r="S59" s="61"/>
      <c r="T59" s="61"/>
      <c r="U59" s="61"/>
      <c r="V59" s="61"/>
      <c r="W59" s="61"/>
      <c r="X59" s="57"/>
    </row>
    <row r="60" spans="1:24" s="18" customFormat="1" ht="15.75" x14ac:dyDescent="0.5">
      <c r="A60" s="28"/>
      <c r="E60" s="61"/>
      <c r="F60" s="61"/>
      <c r="G60" s="61"/>
      <c r="H60" s="61"/>
      <c r="I60" s="61"/>
      <c r="J60" s="61"/>
      <c r="K60" s="61"/>
      <c r="L60" s="61"/>
      <c r="M60" s="61"/>
      <c r="N60" s="61"/>
      <c r="O60" s="61"/>
      <c r="P60" s="61"/>
      <c r="Q60" s="61"/>
      <c r="R60" s="61"/>
      <c r="S60" s="61"/>
      <c r="T60" s="61"/>
      <c r="U60" s="61"/>
      <c r="V60" s="61"/>
      <c r="W60" s="61"/>
      <c r="X60" s="57"/>
    </row>
    <row r="61" spans="1:24" s="18" customFormat="1" ht="15.75" x14ac:dyDescent="0.5">
      <c r="A61" s="352" t="s">
        <v>256</v>
      </c>
      <c r="B61" s="352"/>
      <c r="C61" s="352"/>
      <c r="D61" s="352"/>
      <c r="E61" s="61"/>
      <c r="F61" s="61"/>
      <c r="G61" s="61"/>
      <c r="H61" s="61"/>
      <c r="I61" s="61"/>
      <c r="J61" s="61"/>
      <c r="K61" s="61"/>
      <c r="L61" s="61"/>
      <c r="M61" s="61"/>
      <c r="N61" s="61"/>
      <c r="O61" s="61"/>
      <c r="P61" s="61"/>
      <c r="Q61" s="61"/>
      <c r="R61" s="61"/>
      <c r="S61" s="61"/>
      <c r="T61" s="61"/>
      <c r="U61" s="61"/>
      <c r="V61" s="61"/>
      <c r="W61" s="61"/>
      <c r="X61" s="57"/>
    </row>
    <row r="62" spans="1:24" s="24" customFormat="1" ht="33" customHeight="1" x14ac:dyDescent="0.5">
      <c r="A62" s="353" t="s">
        <v>257</v>
      </c>
      <c r="B62" s="353"/>
      <c r="C62" s="353"/>
      <c r="D62" s="353"/>
      <c r="E62" s="62"/>
      <c r="F62" s="62"/>
      <c r="G62" s="62"/>
      <c r="H62" s="62"/>
      <c r="I62" s="62"/>
      <c r="J62" s="62"/>
      <c r="K62" s="62"/>
      <c r="L62" s="62"/>
      <c r="M62" s="62"/>
      <c r="N62" s="62"/>
      <c r="O62" s="62"/>
      <c r="P62" s="62"/>
      <c r="Q62" s="62"/>
      <c r="R62" s="62"/>
      <c r="S62" s="62"/>
      <c r="T62" s="62"/>
      <c r="U62" s="62"/>
      <c r="V62" s="62"/>
      <c r="W62" s="62"/>
      <c r="X62" s="58"/>
    </row>
    <row r="63" spans="1:24" s="18" customFormat="1" ht="15.75" x14ac:dyDescent="0.5">
      <c r="A63" s="28"/>
      <c r="E63" s="61"/>
      <c r="F63" s="61"/>
      <c r="G63" s="61"/>
      <c r="H63" s="61"/>
      <c r="I63" s="61"/>
      <c r="J63" s="61"/>
      <c r="K63" s="61"/>
      <c r="L63" s="61"/>
      <c r="M63" s="61"/>
      <c r="N63" s="61"/>
      <c r="O63" s="61"/>
      <c r="P63" s="61"/>
      <c r="Q63" s="61"/>
      <c r="R63" s="61"/>
      <c r="S63" s="61"/>
      <c r="T63" s="61"/>
      <c r="U63" s="61"/>
      <c r="V63" s="61"/>
      <c r="W63" s="61"/>
      <c r="X63" s="57"/>
    </row>
    <row r="64" spans="1:24" s="18" customFormat="1" ht="15.75" x14ac:dyDescent="0.5">
      <c r="A64" s="19" t="s">
        <v>258</v>
      </c>
      <c r="B64" s="29" t="str">
        <f>'Data Inputs'!C61&amp;" x TCI ="</f>
        <v>0.015 x TCI =</v>
      </c>
      <c r="C64" s="143">
        <f>'Data Inputs'!C61*B13</f>
        <v>157916.03067631688</v>
      </c>
      <c r="D64" s="46" t="str">
        <f>"in "&amp;'Data Inputs'!$C$48 &amp; " dollars"</f>
        <v>in 2019 dollars</v>
      </c>
      <c r="E64" s="61"/>
      <c r="F64" s="61"/>
      <c r="G64" s="61"/>
      <c r="H64" s="61"/>
      <c r="I64" s="61"/>
      <c r="J64" s="61"/>
      <c r="K64" s="61"/>
      <c r="L64" s="61"/>
      <c r="M64" s="61"/>
      <c r="N64" s="61"/>
      <c r="O64" s="61"/>
      <c r="P64" s="61"/>
      <c r="Q64" s="61"/>
      <c r="R64" s="61"/>
      <c r="S64" s="61"/>
      <c r="T64" s="61"/>
      <c r="U64" s="61"/>
      <c r="V64" s="61"/>
      <c r="W64" s="61"/>
      <c r="X64" s="57"/>
    </row>
    <row r="65" spans="1:24" s="18" customFormat="1" ht="18" x14ac:dyDescent="0.65">
      <c r="A65" s="20" t="s">
        <v>259</v>
      </c>
      <c r="B65" s="18" t="s">
        <v>260</v>
      </c>
      <c r="C65" s="144">
        <f>'Data Inputs'!C52*'SNCR Design Parameters'!C29*'SNCR Design Parameters'!C11</f>
        <v>272965.53463444923</v>
      </c>
      <c r="D65" s="48" t="str">
        <f>"in "&amp;'Data Inputs'!$C$48 &amp; " dollars"</f>
        <v>in 2019 dollars</v>
      </c>
      <c r="E65" s="61"/>
      <c r="F65" s="61"/>
      <c r="G65" s="61"/>
      <c r="H65" s="61"/>
      <c r="I65" s="61"/>
      <c r="J65" s="61"/>
      <c r="K65" s="61"/>
      <c r="L65" s="61"/>
      <c r="M65" s="61"/>
      <c r="N65" s="61"/>
      <c r="O65" s="61"/>
      <c r="P65" s="61"/>
      <c r="Q65" s="61"/>
      <c r="R65" s="61"/>
      <c r="S65" s="61"/>
      <c r="T65" s="61"/>
      <c r="U65" s="61"/>
      <c r="V65" s="61"/>
      <c r="W65" s="61"/>
      <c r="X65" s="57"/>
    </row>
    <row r="66" spans="1:24" s="18" customFormat="1" ht="18" x14ac:dyDescent="0.65">
      <c r="A66" s="20" t="s">
        <v>261</v>
      </c>
      <c r="B66" s="18" t="s">
        <v>262</v>
      </c>
      <c r="C66" s="144">
        <f>'SNCR Design Parameters'!C40*'Data Inputs'!C54*'SNCR Design Parameters'!C11</f>
        <v>9271.2488410022961</v>
      </c>
      <c r="D66" s="48" t="str">
        <f>"in "&amp;'Data Inputs'!$C$48 &amp; " dollars"</f>
        <v>in 2019 dollars</v>
      </c>
      <c r="E66" s="61"/>
      <c r="F66" s="61"/>
      <c r="G66" s="61"/>
      <c r="H66" s="61"/>
      <c r="I66" s="61"/>
      <c r="J66" s="61"/>
      <c r="K66" s="61"/>
      <c r="L66" s="61"/>
      <c r="M66" s="61"/>
      <c r="N66" s="61"/>
      <c r="O66" s="61"/>
      <c r="P66" s="61"/>
      <c r="Q66" s="61"/>
      <c r="R66" s="61"/>
      <c r="S66" s="61"/>
      <c r="T66" s="61"/>
      <c r="U66" s="61"/>
      <c r="V66" s="61"/>
      <c r="W66" s="61"/>
      <c r="X66" s="57"/>
    </row>
    <row r="67" spans="1:24" s="18" customFormat="1" ht="18" x14ac:dyDescent="0.65">
      <c r="A67" s="20" t="s">
        <v>263</v>
      </c>
      <c r="B67" s="18" t="s">
        <v>264</v>
      </c>
      <c r="C67" s="144">
        <f>'SNCR Design Parameters'!C43*'Data Inputs'!C53*'SNCR Design Parameters'!C11</f>
        <v>6621.5690095350319</v>
      </c>
      <c r="D67" s="48" t="str">
        <f>"in "&amp;'Data Inputs'!$C$48 &amp; " dollars"</f>
        <v>in 2019 dollars</v>
      </c>
      <c r="E67" s="61"/>
      <c r="F67" s="61"/>
      <c r="G67" s="61"/>
      <c r="H67" s="61"/>
      <c r="I67" s="61"/>
      <c r="J67" s="61"/>
      <c r="K67" s="61"/>
      <c r="L67" s="61"/>
      <c r="M67" s="61"/>
      <c r="N67" s="61"/>
      <c r="O67" s="61"/>
      <c r="P67" s="61"/>
      <c r="Q67" s="61"/>
      <c r="R67" s="61"/>
      <c r="S67" s="61"/>
      <c r="T67" s="61"/>
      <c r="U67" s="61"/>
      <c r="V67" s="61"/>
      <c r="W67" s="61"/>
      <c r="X67" s="57"/>
    </row>
    <row r="68" spans="1:24" s="18" customFormat="1" ht="18" x14ac:dyDescent="0.65">
      <c r="A68" s="20" t="s">
        <v>265</v>
      </c>
      <c r="B68" s="18" t="s">
        <v>266</v>
      </c>
      <c r="C68" s="144">
        <f>'SNCR Design Parameters'!C46*'Data Inputs'!C51*'SNCR Design Parameters'!C11</f>
        <v>30962.956001523427</v>
      </c>
      <c r="D68" s="48" t="str">
        <f>"in "&amp;'Data Inputs'!$C$48 &amp; " dollars"</f>
        <v>in 2019 dollars</v>
      </c>
      <c r="E68" s="61"/>
      <c r="F68" s="207"/>
      <c r="G68" s="61"/>
      <c r="H68" s="61"/>
      <c r="I68" s="61"/>
      <c r="J68" s="61"/>
      <c r="K68" s="61"/>
      <c r="L68" s="61"/>
      <c r="M68" s="61"/>
      <c r="N68" s="61"/>
      <c r="O68" s="61"/>
      <c r="P68" s="61"/>
      <c r="Q68" s="61"/>
      <c r="R68" s="61"/>
      <c r="S68" s="61"/>
      <c r="T68" s="61"/>
      <c r="U68" s="61"/>
      <c r="V68" s="61"/>
      <c r="W68" s="61"/>
      <c r="X68" s="57"/>
    </row>
    <row r="69" spans="1:24" s="18" customFormat="1" ht="18" x14ac:dyDescent="0.65">
      <c r="A69" s="20" t="s">
        <v>267</v>
      </c>
      <c r="B69" s="18" t="s">
        <v>268</v>
      </c>
      <c r="C69" s="144">
        <f>IF('Data Inputs'!P17=2,('SNCR Design Parameters'!C49*'SNCR Design Parameters'!C11*'Data Inputs'!C55*(1/2000)), 0)</f>
        <v>2644.9615424324015</v>
      </c>
      <c r="D69" s="48" t="str">
        <f>"in "&amp;'Data Inputs'!$C$48 &amp; " dollars"</f>
        <v>in 2019 dollars</v>
      </c>
      <c r="E69" s="61"/>
      <c r="F69" s="61"/>
      <c r="G69" s="61"/>
      <c r="H69" s="61"/>
      <c r="I69" s="61"/>
      <c r="J69" s="61"/>
      <c r="K69" s="61"/>
      <c r="L69" s="61"/>
      <c r="M69" s="61"/>
      <c r="N69" s="61"/>
      <c r="O69" s="61"/>
      <c r="P69" s="61"/>
      <c r="Q69" s="61"/>
      <c r="R69" s="61"/>
      <c r="S69" s="61"/>
      <c r="T69" s="61"/>
      <c r="U69" s="61"/>
      <c r="V69" s="61"/>
      <c r="W69" s="61"/>
      <c r="X69" s="57"/>
    </row>
    <row r="70" spans="1:24" s="18" customFormat="1" ht="15.75" x14ac:dyDescent="0.5">
      <c r="A70" s="21" t="s">
        <v>269</v>
      </c>
      <c r="B70" s="30"/>
      <c r="C70" s="146">
        <f>SUM(C64:C69)</f>
        <v>480382.30070525926</v>
      </c>
      <c r="D70" s="22" t="str">
        <f>"in "&amp;'Data Inputs'!$C$48 &amp; " dollars"</f>
        <v>in 2019 dollars</v>
      </c>
      <c r="E70" s="61"/>
      <c r="F70" s="207"/>
      <c r="G70" s="61"/>
      <c r="H70" s="61"/>
      <c r="I70" s="61"/>
      <c r="J70" s="61"/>
      <c r="K70" s="61"/>
      <c r="L70" s="61"/>
      <c r="M70" s="61"/>
      <c r="N70" s="61"/>
      <c r="O70" s="61"/>
      <c r="P70" s="61"/>
      <c r="Q70" s="61"/>
      <c r="R70" s="61"/>
      <c r="S70" s="61"/>
      <c r="T70" s="61"/>
      <c r="U70" s="61"/>
      <c r="V70" s="61"/>
      <c r="W70" s="61"/>
      <c r="X70" s="57"/>
    </row>
    <row r="71" spans="1:24" s="18" customFormat="1" ht="15.75" x14ac:dyDescent="0.5">
      <c r="E71" s="61"/>
      <c r="F71" s="61"/>
      <c r="G71" s="61"/>
      <c r="H71" s="61"/>
      <c r="I71" s="61"/>
      <c r="J71" s="61"/>
      <c r="K71" s="61"/>
      <c r="L71" s="61"/>
      <c r="M71" s="61"/>
      <c r="N71" s="61"/>
      <c r="O71" s="61"/>
      <c r="P71" s="61"/>
      <c r="Q71" s="61"/>
      <c r="R71" s="61"/>
      <c r="S71" s="61"/>
      <c r="T71" s="61"/>
      <c r="U71" s="61"/>
      <c r="V71" s="61"/>
      <c r="W71" s="61"/>
      <c r="X71" s="57"/>
    </row>
    <row r="72" spans="1:24" s="24" customFormat="1" ht="15.75" x14ac:dyDescent="0.5">
      <c r="A72" s="354" t="s">
        <v>270</v>
      </c>
      <c r="B72" s="354"/>
      <c r="C72" s="354"/>
      <c r="D72" s="354"/>
      <c r="E72" s="62"/>
      <c r="F72" s="208"/>
      <c r="G72" s="62"/>
      <c r="H72" s="62"/>
      <c r="I72" s="62"/>
      <c r="J72" s="62"/>
      <c r="K72" s="62"/>
      <c r="L72" s="62"/>
      <c r="M72" s="62"/>
      <c r="N72" s="62"/>
      <c r="O72" s="62"/>
      <c r="P72" s="62"/>
      <c r="Q72" s="62"/>
      <c r="R72" s="62"/>
      <c r="S72" s="62"/>
      <c r="T72" s="62"/>
      <c r="U72" s="62"/>
      <c r="V72" s="62"/>
      <c r="W72" s="62"/>
      <c r="X72" s="58"/>
    </row>
    <row r="73" spans="1:24" s="24" customFormat="1" ht="15.75" x14ac:dyDescent="0.5">
      <c r="A73" s="355" t="s">
        <v>271</v>
      </c>
      <c r="B73" s="355"/>
      <c r="C73" s="355"/>
      <c r="D73" s="355"/>
      <c r="E73" s="62"/>
      <c r="F73" s="208"/>
      <c r="G73" s="62"/>
      <c r="H73" s="62"/>
      <c r="I73" s="62"/>
      <c r="J73" s="62"/>
      <c r="K73" s="62"/>
      <c r="L73" s="62"/>
      <c r="M73" s="62"/>
      <c r="N73" s="62"/>
      <c r="O73" s="62"/>
      <c r="P73" s="62"/>
      <c r="Q73" s="62"/>
      <c r="R73" s="62"/>
      <c r="S73" s="62"/>
      <c r="T73" s="62"/>
      <c r="U73" s="62"/>
      <c r="V73" s="62"/>
      <c r="W73" s="62"/>
      <c r="X73" s="58"/>
    </row>
    <row r="74" spans="1:24" s="18" customFormat="1" ht="15.75" x14ac:dyDescent="0.5">
      <c r="E74" s="61"/>
      <c r="F74" s="61"/>
      <c r="G74" s="61"/>
      <c r="H74" s="61"/>
      <c r="I74" s="61"/>
      <c r="J74" s="61"/>
      <c r="K74" s="61"/>
      <c r="L74" s="61"/>
      <c r="M74" s="61"/>
      <c r="N74" s="61"/>
      <c r="O74" s="61"/>
      <c r="P74" s="61"/>
      <c r="Q74" s="61"/>
      <c r="R74" s="61"/>
      <c r="S74" s="61"/>
      <c r="T74" s="61"/>
      <c r="U74" s="61"/>
      <c r="V74" s="61"/>
      <c r="W74" s="61"/>
      <c r="X74" s="57"/>
    </row>
    <row r="75" spans="1:24" s="18" customFormat="1" ht="15.75" customHeight="1" x14ac:dyDescent="0.5">
      <c r="A75" s="31" t="s">
        <v>272</v>
      </c>
      <c r="B75" s="32" t="str">
        <f>'Data Inputs'!C62 &amp;" x Annual Maintenance Cost ="</f>
        <v>0.03 x Annual Maintenance Cost =</v>
      </c>
      <c r="C75" s="143">
        <f>'Data Inputs'!C62*C64</f>
        <v>4737.4809202895058</v>
      </c>
      <c r="D75" s="46" t="str">
        <f>"in "&amp;'Data Inputs'!$C$48 &amp; " dollars"</f>
        <v>in 2019 dollars</v>
      </c>
      <c r="E75" s="61"/>
      <c r="F75" s="61"/>
      <c r="G75" s="61"/>
      <c r="H75" s="61"/>
      <c r="I75" s="61"/>
      <c r="J75" s="61"/>
      <c r="K75" s="61"/>
      <c r="L75" s="61"/>
      <c r="M75" s="61"/>
      <c r="N75" s="61"/>
      <c r="O75" s="61"/>
      <c r="P75" s="61"/>
      <c r="Q75" s="61"/>
      <c r="R75" s="61"/>
      <c r="S75" s="61"/>
      <c r="T75" s="61"/>
      <c r="U75" s="61"/>
      <c r="V75" s="61"/>
      <c r="W75" s="61"/>
      <c r="X75" s="57"/>
    </row>
    <row r="76" spans="1:24" s="18" customFormat="1" ht="15.75" x14ac:dyDescent="0.5">
      <c r="A76" s="20" t="s">
        <v>273</v>
      </c>
      <c r="B76" s="18" t="s">
        <v>274</v>
      </c>
      <c r="C76" s="144">
        <f>'SNCR Design Parameters'!C35*B13</f>
        <v>993818.21972295421</v>
      </c>
      <c r="D76" s="48" t="str">
        <f>"in "&amp;'Data Inputs'!$C$48 &amp; " dollars"</f>
        <v>in 2019 dollars</v>
      </c>
      <c r="E76" s="61"/>
      <c r="F76" s="61"/>
      <c r="G76" s="61"/>
      <c r="H76" s="61"/>
      <c r="I76" s="61"/>
      <c r="J76" s="61"/>
      <c r="K76" s="61"/>
      <c r="L76" s="61"/>
      <c r="M76" s="61"/>
      <c r="N76" s="61"/>
      <c r="O76" s="61"/>
      <c r="P76" s="61"/>
      <c r="Q76" s="61"/>
      <c r="R76" s="61"/>
      <c r="S76" s="61"/>
      <c r="T76" s="61"/>
      <c r="U76" s="61"/>
      <c r="V76" s="61"/>
      <c r="W76" s="61"/>
      <c r="X76" s="57"/>
    </row>
    <row r="77" spans="1:24" s="18" customFormat="1" ht="15.75" x14ac:dyDescent="0.5">
      <c r="A77" s="21" t="s">
        <v>275</v>
      </c>
      <c r="B77" s="30" t="s">
        <v>276</v>
      </c>
      <c r="C77" s="146">
        <f>C75+C76</f>
        <v>998555.70064324373</v>
      </c>
      <c r="D77" s="22" t="str">
        <f>"in "&amp;'Data Inputs'!$C$48 &amp; " dollars"</f>
        <v>in 2019 dollars</v>
      </c>
      <c r="E77" s="61"/>
      <c r="F77" s="61"/>
      <c r="G77" s="61"/>
      <c r="H77" s="61"/>
      <c r="I77" s="61"/>
      <c r="J77" s="61"/>
      <c r="K77" s="61"/>
      <c r="L77" s="61"/>
      <c r="M77" s="61"/>
      <c r="N77" s="61"/>
      <c r="O77" s="61"/>
      <c r="P77" s="61"/>
      <c r="Q77" s="61"/>
      <c r="R77" s="61"/>
      <c r="S77" s="61"/>
      <c r="T77" s="61"/>
      <c r="U77" s="61"/>
      <c r="V77" s="61"/>
      <c r="W77" s="61"/>
      <c r="X77" s="57"/>
    </row>
    <row r="78" spans="1:24" s="18" customFormat="1" ht="15.75" x14ac:dyDescent="0.5">
      <c r="E78" s="61"/>
      <c r="F78" s="61"/>
      <c r="G78" s="61"/>
      <c r="H78" s="61"/>
      <c r="I78" s="61"/>
      <c r="J78" s="61"/>
      <c r="K78" s="61"/>
      <c r="L78" s="61"/>
      <c r="M78" s="61"/>
      <c r="N78" s="61"/>
      <c r="O78" s="61"/>
      <c r="P78" s="61"/>
      <c r="Q78" s="61"/>
      <c r="R78" s="61"/>
      <c r="S78" s="61"/>
      <c r="T78" s="61"/>
      <c r="U78" s="61"/>
      <c r="V78" s="61"/>
      <c r="W78" s="61"/>
      <c r="X78" s="57"/>
    </row>
    <row r="80" spans="1:24" s="14" customFormat="1" ht="18" x14ac:dyDescent="0.55000000000000004">
      <c r="A80" s="359" t="s">
        <v>277</v>
      </c>
      <c r="B80" s="359"/>
      <c r="C80" s="359"/>
      <c r="D80" s="359"/>
      <c r="E80" s="51"/>
      <c r="F80" s="51"/>
      <c r="G80" s="51"/>
      <c r="H80" s="51"/>
      <c r="I80" s="51"/>
      <c r="J80" s="51"/>
      <c r="K80" s="51"/>
      <c r="L80" s="51"/>
      <c r="M80" s="51"/>
      <c r="N80" s="51"/>
      <c r="O80" s="51"/>
      <c r="P80" s="51"/>
      <c r="Q80" s="51"/>
      <c r="R80" s="51"/>
      <c r="S80" s="51"/>
      <c r="T80" s="51"/>
      <c r="U80" s="51"/>
      <c r="V80" s="51"/>
      <c r="W80" s="51"/>
      <c r="X80" s="43"/>
    </row>
    <row r="81" spans="1:24" s="18" customFormat="1" ht="15.75" x14ac:dyDescent="0.5">
      <c r="E81" s="61"/>
      <c r="F81" s="61"/>
      <c r="G81" s="61"/>
      <c r="H81" s="61"/>
      <c r="I81" s="61"/>
      <c r="J81" s="61"/>
      <c r="K81" s="61"/>
      <c r="L81" s="61"/>
      <c r="M81" s="61"/>
      <c r="N81" s="61"/>
      <c r="O81" s="61"/>
      <c r="P81" s="61"/>
      <c r="Q81" s="61"/>
      <c r="R81" s="61"/>
      <c r="S81" s="61"/>
      <c r="T81" s="61"/>
      <c r="U81" s="61"/>
      <c r="V81" s="61"/>
      <c r="W81" s="61"/>
      <c r="X81" s="57"/>
    </row>
    <row r="82" spans="1:24" s="18" customFormat="1" ht="15.75" x14ac:dyDescent="0.5">
      <c r="A82" s="355" t="s">
        <v>278</v>
      </c>
      <c r="B82" s="355"/>
      <c r="C82" s="355"/>
      <c r="D82" s="355"/>
      <c r="E82" s="61"/>
      <c r="F82" s="61"/>
      <c r="G82" s="61"/>
      <c r="H82" s="61"/>
      <c r="I82" s="61"/>
      <c r="J82" s="61"/>
      <c r="K82" s="61"/>
      <c r="L82" s="61"/>
      <c r="M82" s="61"/>
      <c r="N82" s="61"/>
      <c r="O82" s="61"/>
      <c r="P82" s="61"/>
      <c r="Q82" s="61"/>
      <c r="R82" s="61"/>
      <c r="S82" s="61"/>
      <c r="T82" s="61"/>
      <c r="U82" s="61"/>
      <c r="V82" s="61"/>
      <c r="W82" s="61"/>
      <c r="X82" s="57"/>
    </row>
    <row r="83" spans="1:24" s="18" customFormat="1" ht="15.75" x14ac:dyDescent="0.5">
      <c r="E83" s="61"/>
      <c r="F83" s="61"/>
      <c r="G83" s="61"/>
      <c r="H83" s="61"/>
      <c r="I83" s="61"/>
      <c r="J83" s="61"/>
      <c r="K83" s="61"/>
      <c r="L83" s="61"/>
      <c r="M83" s="61"/>
      <c r="N83" s="61"/>
      <c r="O83" s="61"/>
      <c r="P83" s="61"/>
      <c r="Q83" s="61"/>
      <c r="R83" s="61"/>
      <c r="S83" s="61"/>
      <c r="T83" s="61"/>
      <c r="U83" s="61"/>
      <c r="V83" s="61"/>
      <c r="W83" s="61"/>
      <c r="X83" s="57"/>
    </row>
    <row r="84" spans="1:24" s="18" customFormat="1" ht="15.75" x14ac:dyDescent="0.5">
      <c r="A84" s="19" t="s">
        <v>279</v>
      </c>
      <c r="B84" s="143">
        <f>B59</f>
        <v>1478938.0013485029</v>
      </c>
      <c r="C84" s="365" t="str">
        <f>"per year in "&amp;'Data Inputs'!$C$48 &amp; " dollars"</f>
        <v>per year in 2019 dollars</v>
      </c>
      <c r="D84" s="366"/>
      <c r="E84" s="61"/>
      <c r="F84" s="61"/>
      <c r="G84" s="61"/>
      <c r="H84" s="61"/>
      <c r="I84" s="61"/>
      <c r="J84" s="61"/>
      <c r="K84" s="61"/>
      <c r="L84" s="61"/>
      <c r="M84" s="61"/>
      <c r="N84" s="61"/>
      <c r="O84" s="61"/>
      <c r="P84" s="61"/>
      <c r="Q84" s="61"/>
      <c r="R84" s="61"/>
      <c r="S84" s="61"/>
      <c r="T84" s="61"/>
      <c r="U84" s="61"/>
      <c r="V84" s="61"/>
      <c r="W84" s="61"/>
      <c r="X84" s="57"/>
    </row>
    <row r="85" spans="1:24" s="18" customFormat="1" ht="15.75" x14ac:dyDescent="0.5">
      <c r="A85" s="45" t="s">
        <v>280</v>
      </c>
      <c r="B85" s="212">
        <f>'SNCR Design Parameters'!C14</f>
        <v>83.936757699999987</v>
      </c>
      <c r="C85" s="34" t="s">
        <v>175</v>
      </c>
      <c r="D85" s="35"/>
      <c r="E85" s="61"/>
      <c r="F85" s="61"/>
      <c r="G85" s="61"/>
      <c r="H85" s="61"/>
      <c r="I85" s="61"/>
      <c r="J85" s="61"/>
      <c r="K85" s="61"/>
      <c r="L85" s="61"/>
      <c r="M85" s="61"/>
      <c r="N85" s="61"/>
      <c r="O85" s="61"/>
      <c r="P85" s="61"/>
      <c r="Q85" s="61"/>
      <c r="R85" s="61"/>
      <c r="S85" s="61"/>
      <c r="T85" s="61"/>
      <c r="U85" s="61"/>
      <c r="V85" s="61"/>
      <c r="W85" s="61"/>
      <c r="X85" s="57"/>
    </row>
    <row r="86" spans="1:24" s="18" customFormat="1" ht="15.75" x14ac:dyDescent="0.5">
      <c r="A86" s="45" t="s">
        <v>281</v>
      </c>
      <c r="B86" s="145">
        <f>B84/B85</f>
        <v>17619.670355083337</v>
      </c>
      <c r="C86" s="34" t="str">
        <f>"per ton of NOx removed in "&amp;'Data Inputs'!$C$48 &amp; " dollars"</f>
        <v>per ton of NOx removed in 2019 dollars</v>
      </c>
      <c r="D86" s="47"/>
      <c r="E86" s="61"/>
      <c r="F86" s="61"/>
      <c r="G86" s="61"/>
      <c r="H86" s="61"/>
      <c r="I86" s="61"/>
      <c r="J86" s="61"/>
      <c r="K86" s="61"/>
      <c r="L86" s="61"/>
      <c r="M86" s="61"/>
      <c r="N86" s="61"/>
      <c r="O86" s="61"/>
      <c r="P86" s="61"/>
      <c r="Q86" s="61"/>
      <c r="R86" s="61"/>
      <c r="S86" s="61"/>
      <c r="T86" s="61"/>
      <c r="U86" s="61"/>
      <c r="V86" s="61"/>
      <c r="W86" s="61"/>
      <c r="X86" s="57"/>
    </row>
    <row r="87" spans="1:24" s="18" customFormat="1" ht="15.75" x14ac:dyDescent="0.5">
      <c r="E87" s="61"/>
      <c r="F87" s="61"/>
      <c r="G87" s="61"/>
      <c r="H87" s="61"/>
      <c r="I87" s="61"/>
      <c r="J87" s="61"/>
      <c r="K87" s="61"/>
      <c r="L87" s="61"/>
      <c r="M87" s="61"/>
      <c r="N87" s="61"/>
      <c r="O87" s="61"/>
      <c r="P87" s="61"/>
      <c r="Q87" s="61"/>
      <c r="R87" s="61"/>
      <c r="S87" s="61"/>
      <c r="T87" s="61"/>
      <c r="U87" s="61"/>
      <c r="V87" s="61"/>
      <c r="W87" s="61"/>
      <c r="X87" s="57"/>
    </row>
  </sheetData>
  <mergeCells count="39">
    <mergeCell ref="C84:D84"/>
    <mergeCell ref="A37:C37"/>
    <mergeCell ref="A52:D52"/>
    <mergeCell ref="A30:D30"/>
    <mergeCell ref="A31:D31"/>
    <mergeCell ref="A32:D32"/>
    <mergeCell ref="A33:D33"/>
    <mergeCell ref="A34:D34"/>
    <mergeCell ref="A73:D73"/>
    <mergeCell ref="A80:D80"/>
    <mergeCell ref="A82:D82"/>
    <mergeCell ref="A39:D39"/>
    <mergeCell ref="A40:D40"/>
    <mergeCell ref="A41:D41"/>
    <mergeCell ref="A42:D42"/>
    <mergeCell ref="A43:D43"/>
    <mergeCell ref="A1:D1"/>
    <mergeCell ref="A25:D25"/>
    <mergeCell ref="A24:D24"/>
    <mergeCell ref="A3:D3"/>
    <mergeCell ref="A5:D5"/>
    <mergeCell ref="A6:D6"/>
    <mergeCell ref="A8:D8"/>
    <mergeCell ref="A19:D19"/>
    <mergeCell ref="A20:D20"/>
    <mergeCell ref="A21:D21"/>
    <mergeCell ref="A22:D22"/>
    <mergeCell ref="A23:D23"/>
    <mergeCell ref="A17:D17"/>
    <mergeCell ref="A18:D18"/>
    <mergeCell ref="A14:C14"/>
    <mergeCell ref="A61:D61"/>
    <mergeCell ref="A62:D62"/>
    <mergeCell ref="A72:D72"/>
    <mergeCell ref="A45:D45"/>
    <mergeCell ref="A46:D46"/>
    <mergeCell ref="A47:D47"/>
    <mergeCell ref="A54:D54"/>
    <mergeCell ref="A55:D55"/>
  </mergeCells>
  <pageMargins left="0.7" right="0.7" top="0.75" bottom="0.75" header="0.3" footer="0.3"/>
  <pageSetup scale="77" orientation="portrait" r:id="rId1"/>
  <rowBreaks count="1" manualBreakCount="1">
    <brk id="5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Read Me</vt:lpstr>
      <vt:lpstr>Data Inputs</vt:lpstr>
      <vt:lpstr>SNCR Design Parameters</vt:lpstr>
      <vt:lpstr>Cost Estimate</vt:lpstr>
      <vt:lpstr>'Cost Estimate'!Print_Area</vt:lpstr>
      <vt:lpstr>'Data Inputs'!Print_Area</vt:lpstr>
      <vt:lpstr>'SNCR Design Parameters'!Print_Area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dc:creator>
  <cp:lastModifiedBy>Treece, Tricia</cp:lastModifiedBy>
  <cp:revision/>
  <dcterms:created xsi:type="dcterms:W3CDTF">2016-01-22T14:12:08Z</dcterms:created>
  <dcterms:modified xsi:type="dcterms:W3CDTF">2022-08-02T21:29:48Z</dcterms:modified>
</cp:coreProperties>
</file>